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bookViews>
    <workbookView xWindow="-105" yWindow="-105" windowWidth="15630" windowHeight="5280" tabRatio="577"/>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5" i="1" l="1"/>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<sst xmlns="http://schemas.openxmlformats.org/spreadsheetml/2006/main" count="5247" uniqueCount="4952">
  <si>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</si>
  <si>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</si>
  <si>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</si>
  <si>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</si>
  <si>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</si>
  <si>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</si>
  <si>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</si>
  <si>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</si>
  <si>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</si>
  <si>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</si>
  <si>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</si>
  <si>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</si>
  <si>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</si>
  <si>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</si>
  <si>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</si>
  <si>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</si>
  <si>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</si>
  <si>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</si>
  <si>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</si>
  <si>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</si>
  <si>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</si>
  <si>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</si>
  <si>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</si>
  <si>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</si>
  <si>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</si>
  <si>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</si>
  <si>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</si>
  <si>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</si>
  <si>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</si>
  <si>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</si>
  <si>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</si>
  <si>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</si>
  <si>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</si>
  <si>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</si>
  <si>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</si>
  <si>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</si>
  <si>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</si>
  <si>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</si>
  <si>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</si>
  <si>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</si>
  <si>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</si>
  <si>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</si>
  <si>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</si>
  <si>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</si>
  <si>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</si>
  <si>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</si>
  <si>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</si>
  <si>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</si>
  <si>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</si>
  <si>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</si>
  <si>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</si>
  <si>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</si>
  <si>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</si>
  <si>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</si>
  <si>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</si>
  <si>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</si>
  <si>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</si>
  <si>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</si>
  <si>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</si>
  <si>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</si>
  <si>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</si>
  <si>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</si>
  <si>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</si>
  <si>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</si>
  <si>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</si>
  <si>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</si>
  <si>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</si>
  <si>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</si>
  <si>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</si>
  <si>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</si>
  <si>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</si>
  <si>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</si>
  <si>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</si>
  <si>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</si>
  <si>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</si>
  <si>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</si>
  <si>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</si>
  <si>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</si>
  <si>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</si>
  <si>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</si>
  <si>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</si>
  <si>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</si>
  <si>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</si>
  <si>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</si>
  <si>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</si>
  <si>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</si>
  <si>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</si>
  <si>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</si>
  <si>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</si>
  <si>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</si>
  <si>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</si>
  <si>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</si>
  <si>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</si>
  <si>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</si>
  <si>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</si>
  <si>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</si>
  <si>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</si>
  <si>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</si>
  <si>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</si>
  <si>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</si>
  <si>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</si>
  <si>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</si>
  <si>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</si>
  <si>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</si>
  <si>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</si>
  <si>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</si>
  <si>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</si>
  <si>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</si>
  <si>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</si>
  <si>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</si>
  <si>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</si>
  <si>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</si>
  <si>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</si>
  <si>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</si>
  <si>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</si>
  <si>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</si>
  <si>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</si>
  <si>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</si>
  <si>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</si>
  <si>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</si>
  <si>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</si>
  <si>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</si>
  <si>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</si>
  <si>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</si>
  <si>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</si>
  <si>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</si>
  <si>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</si>
  <si>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</si>
  <si>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</si>
  <si>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</si>
  <si>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</si>
  <si>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</si>
  <si>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</si>
  <si>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</si>
  <si>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</si>
  <si>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</si>
  <si>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</si>
  <si>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</si>
  <si>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</si>
  <si>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</si>
  <si>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</si>
  <si>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</si>
  <si>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</si>
  <si>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</si>
  <si>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</si>
  <si>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</si>
  <si>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</si>
  <si>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</si>
  <si>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</si>
  <si>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</si>
  <si>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</si>
  <si>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</si>
  <si>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</si>
  <si>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</si>
  <si>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</si>
  <si>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</si>
  <si>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</si>
  <si>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</si>
  <si>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</si>
  <si>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</si>
  <si>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</si>
  <si>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</si>
  <si>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</si>
  <si>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</si>
  <si>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</si>
  <si>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</si>
  <si>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</si>
  <si>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</si>
  <si>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</si>
  <si>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</si>
  <si>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</si>
  <si>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</si>
  <si>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</si>
  <si>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</si>
  <si>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</si>
  <si>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</si>
  <si>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</si>
  <si>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</si>
  <si>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</si>
  <si>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</si>
  <si>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</si>
  <si>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</si>
  <si>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</si>
  <si>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</si>
  <si>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</si>
  <si>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</si>
  <si>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</si>
  <si>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</si>
  <si>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</si>
  <si>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</si>
  <si>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</si>
  <si>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</si>
  <si>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</si>
  <si>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</si>
  <si>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</si>
  <si>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</si>
  <si>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</si>
  <si>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</si>
  <si>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</si>
  <si>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</si>
  <si>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</si>
  <si>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</si>
  <si>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</si>
  <si>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</si>
  <si>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</si>
  <si>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</si>
  <si>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</si>
  <si>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</si>
  <si>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</si>
  <si>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</si>
  <si>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</si>
  <si>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</si>
  <si>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</si>
  <si>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</si>
  <si>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</si>
  <si>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</si>
  <si>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</si>
  <si>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</si>
  <si>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</si>
  <si>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</si>
  <si>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</si>
  <si>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</si>
  <si>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</si>
  <si>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</si>
  <si>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</si>
  <si>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</si>
  <si>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</si>
  <si>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</si>
  <si>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</si>
  <si>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</si>
  <si>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</si>
  <si>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</si>
  <si>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</si>
  <si>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</si>
  <si>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</si>
  <si>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</si>
  <si>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</si>
  <si>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</si>
  <si>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</si>
  <si>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</si>
  <si>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</si>
  <si>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</si>
  <si>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</si>
  <si>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</si>
  <si>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</si>
  <si>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</si>
  <si>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</si>
  <si>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</si>
  <si>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</si>
  <si>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</si>
  <si>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</si>
  <si>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</si>
  <si>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</si>
  <si>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</si>
  <si>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</si>
  <si>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</si>
  <si>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</si>
  <si>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</si>
  <si>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</si>
  <si>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</si>
  <si>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</si>
  <si>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</si>
  <si>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</si>
  <si>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</si>
  <si>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</si>
  <si>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</si>
  <si>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</si>
  <si>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</si>
  <si>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</si>
  <si>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</si>
  <si>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</si>
  <si>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</si>
  <si>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</si>
  <si>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</si>
  <si>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</si>
  <si>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</si>
  <si>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</si>
  <si>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</si>
  <si>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</si>
  <si>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</si>
  <si>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</si>
  <si>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</si>
  <si>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</si>
  <si>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</si>
  <si>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</si>
  <si>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</si>
  <si>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</si>
  <si>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</si>
  <si>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</si>
  <si>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</si>
  <si>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</si>
  <si>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</si>
  <si>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</si>
  <si>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</si>
  <si>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</si>
  <si>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</si>
  <si>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</si>
  <si>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</si>
  <si>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</si>
  <si>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</si>
  <si>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</si>
  <si>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</si>
  <si>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</si>
  <si>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</si>
  <si>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</si>
  <si>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</si>
  <si>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</si>
  <si>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</si>
  <si>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</si>
  <si>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</si>
  <si>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</si>
  <si>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</si>
  <si>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</si>
  <si>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</si>
  <si>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</si>
  <si>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</si>
  <si>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</si>
  <si>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</si>
  <si>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</si>
  <si>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</si>
  <si>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</si>
  <si>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</si>
  <si>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</si>
  <si>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</si>
  <si>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</si>
  <si>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</si>
  <si>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</si>
  <si>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</si>
  <si>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</si>
  <si>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</si>
  <si>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</si>
  <si>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</si>
  <si>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</si>
  <si>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</si>
  <si>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</si>
  <si>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</si>
  <si>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</si>
  <si>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</si>
  <si>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</si>
  <si>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</si>
  <si>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</si>
  <si>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</si>
  <si>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</si>
  <si>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</si>
  <si>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</si>
  <si>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</si>
  <si>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</si>
  <si>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</si>
  <si>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</si>
  <si>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</si>
  <si>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</si>
  <si>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</si>
  <si>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</si>
  <si>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</si>
  <si>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</si>
  <si>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</si>
  <si>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</si>
  <si>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</si>
  <si>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</si>
  <si>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</si>
  <si>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</si>
  <si>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</si>
  <si>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</si>
  <si>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</si>
  <si>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</si>
  <si>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</si>
  <si>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</si>
  <si>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</si>
  <si>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</si>
  <si>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</si>
  <si>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</si>
  <si>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</si>
  <si>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</si>
  <si>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</si>
  <si>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</si>
  <si>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</si>
  <si>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</si>
  <si>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</si>
  <si>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</si>
  <si>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</si>
  <si>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</si>
  <si>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</si>
  <si>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</si>
  <si>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</si>
  <si>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</si>
  <si>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</si>
  <si>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</si>
  <si>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</si>
  <si>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</si>
  <si>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</si>
  <si>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</si>
  <si>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</si>
  <si>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</si>
  <si>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</si>
  <si>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</si>
  <si>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</si>
  <si>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</si>
  <si>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</si>
  <si>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</si>
  <si>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</si>
  <si>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</si>
  <si>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</si>
  <si>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</si>
  <si>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</si>
  <si>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</si>
  <si>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</si>
  <si>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</si>
  <si>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</si>
  <si>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</si>
  <si>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</si>
  <si>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</si>
  <si>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</si>
  <si>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</si>
  <si>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</si>
  <si>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</si>
  <si>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</si>
  <si>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</si>
  <si>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</si>
  <si>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</si>
  <si>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</si>
  <si>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</si>
  <si>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</si>
  <si>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</si>
  <si>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</si>
  <si>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</si>
  <si>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</si>
  <si>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</si>
  <si>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</si>
  <si>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</si>
  <si>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</si>
  <si>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</si>
  <si>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</si>
  <si>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</si>
  <si>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</si>
  <si>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</si>
  <si>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</si>
  <si>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</si>
  <si>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</si>
  <si>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</si>
  <si>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</si>
  <si>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</si>
  <si>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</si>
  <si>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</si>
  <si>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</si>
  <si>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</si>
  <si>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</si>
  <si>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</si>
  <si>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</si>
  <si>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</si>
  <si>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</si>
  <si>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</si>
  <si>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</si>
  <si>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</si>
  <si>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</si>
  <si>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</si>
  <si>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</si>
  <si>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</si>
  <si>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</si>
  <si>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</si>
  <si>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</si>
  <si>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</si>
  <si>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</si>
  <si>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</si>
  <si>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</si>
  <si>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</si>
  <si>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</si>
  <si>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</si>
  <si>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</si>
  <si>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</si>
  <si>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</si>
  <si>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</si>
  <si>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</si>
  <si>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</si>
  <si>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</si>
  <si>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</si>
  <si>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</si>
  <si>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</si>
  <si>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</si>
  <si>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</si>
  <si>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</si>
  <si>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</si>
  <si>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</si>
  <si>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</si>
  <si>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</si>
  <si>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</si>
  <si>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</si>
  <si>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</si>
  <si>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</si>
  <si>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</si>
  <si>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</si>
  <si>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</si>
  <si>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</si>
  <si>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</si>
  <si>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</si>
  <si>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</si>
  <si>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</si>
  <si>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</si>
  <si>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</si>
  <si>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</si>
  <si>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</si>
  <si>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</si>
  <si>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</si>
  <si>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</si>
  <si>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</si>
  <si>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</si>
  <si>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</si>
  <si>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</si>
  <si>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</si>
  <si>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</si>
  <si>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</si>
  <si>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</si>
  <si>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</si>
  <si>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</si>
  <si>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</si>
  <si>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</si>
  <si>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</si>
  <si>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</si>
  <si>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</si>
  <si>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</si>
  <si>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</si>
  <si>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</si>
  <si>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</si>
  <si>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</si>
  <si>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</si>
  <si>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</si>
  <si>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</si>
  <si>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</si>
  <si>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</si>
  <si>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</si>
  <si>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</si>
  <si>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</si>
  <si>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</si>
  <si>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</si>
  <si>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</si>
  <si>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</si>
  <si>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</si>
  <si>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</si>
  <si>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</si>
  <si>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</si>
  <si>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</si>
  <si>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</si>
  <si>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</si>
  <si>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</si>
  <si>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</si>
  <si>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</si>
  <si>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</si>
  <si>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</si>
  <si>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</si>
  <si>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</si>
  <si>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</si>
  <si>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</si>
  <si>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</si>
  <si>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</si>
  <si>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</si>
  <si>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</si>
  <si>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</si>
  <si>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</si>
  <si>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</si>
  <si>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</si>
  <si>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</si>
  <si>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</si>
  <si>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</si>
  <si>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</si>
  <si>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</si>
  <si>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</si>
  <si>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</si>
  <si>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</si>
  <si>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</si>
  <si>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</si>
  <si>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</si>
  <si>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</si>
  <si>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</si>
  <si>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</si>
  <si>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</si>
  <si>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</si>
  <si>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</si>
  <si>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</si>
  <si>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</si>
  <si>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</si>
  <si>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</si>
  <si>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</si>
  <si>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</si>
  <si>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</si>
  <si>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</si>
  <si>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</si>
  <si>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</si>
  <si>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</si>
  <si>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</si>
  <si>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</si>
  <si>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</si>
  <si>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</si>
  <si>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</si>
  <si>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</si>
  <si>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</si>
  <si>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</si>
  <si>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</si>
  <si>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</si>
  <si>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</si>
  <si>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</si>
  <si>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</si>
  <si>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</si>
  <si>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</si>
  <si>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</si>
  <si>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</si>
  <si>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</si>
  <si>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</si>
  <si>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</si>
  <si>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</si>
  <si>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</si>
  <si>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</si>
  <si>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</si>
  <si>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</si>
  <si>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</si>
  <si>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</si>
  <si>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</si>
  <si>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</si>
  <si>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</si>
  <si>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</si>
  <si>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</si>
  <si>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</si>
  <si>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</si>
  <si>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</si>
  <si>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</si>
  <si>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</si>
  <si>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</si>
  <si>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</si>
  <si>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</si>
  <si>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</si>
  <si>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</si>
  <si>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</si>
  <si>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</si>
  <si>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</si>
  <si>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</si>
  <si>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</si>
  <si>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</si>
  <si>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</si>
  <si>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</si>
  <si>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</si>
  <si>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</si>
  <si>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</si>
  <si>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</si>
  <si>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</si>
  <si>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</si>
  <si>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</si>
  <si>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</si>
  <si>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</si>
  <si>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</si>
  <si>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</si>
  <si>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</si>
  <si>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</si>
  <si>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</si>
  <si>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</si>
  <si>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</si>
  <si>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</si>
  <si>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</si>
  <si>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</si>
  <si>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</si>
  <si>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</si>
  <si>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</si>
  <si>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</si>
  <si>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</si>
  <si>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</si>
  <si>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</si>
  <si>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</si>
  <si>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</si>
  <si>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</si>
  <si>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</si>
  <si>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</si>
  <si>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</si>
  <si>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</si>
  <si>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</si>
  <si>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</si>
  <si>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</si>
  <si>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</si>
  <si>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</si>
  <si>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</si>
  <si>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</si>
  <si>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</si>
  <si>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</si>
  <si>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</si>
  <si>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</si>
  <si>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</si>
  <si>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</si>
  <si>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</si>
  <si>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</si>
  <si>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</si>
  <si>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</si>
  <si>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</si>
  <si>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</si>
  <si>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</si>
  <si>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</si>
  <si>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</si>
  <si>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</si>
  <si>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</si>
  <si>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</si>
  <si>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</si>
  <si>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</si>
  <si>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</si>
  <si>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</si>
  <si>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</si>
  <si>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</si>
  <si>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</si>
  <si>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</si>
  <si>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</si>
  <si>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</si>
  <si>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</si>
  <si>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</si>
  <si>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</si>
  <si>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</si>
  <si>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</si>
  <si>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</si>
  <si>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</si>
  <si>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</si>
  <si>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</si>
  <si>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</si>
  <si>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</si>
  <si>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</si>
  <si>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</si>
  <si>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</si>
  <si>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</si>
  <si>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</si>
  <si>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</si>
  <si>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</si>
  <si>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</si>
  <si>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</si>
  <si>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</si>
  <si>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</si>
  <si>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</si>
  <si>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</si>
  <si>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</si>
  <si>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</si>
  <si>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</si>
  <si>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</si>
  <si>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</si>
  <si>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</si>
  <si>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</si>
  <si>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</si>
  <si>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</si>
  <si>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</si>
  <si>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</si>
  <si>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</si>
  <si>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</si>
  <si>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</si>
  <si>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</si>
  <si>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</si>
  <si>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</si>
  <si>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</si>
  <si>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</si>
  <si>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</si>
  <si>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</si>
  <si>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</si>
  <si>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</si>
  <si>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</si>
  <si>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</si>
  <si>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</si>
  <si>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</si>
  <si>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</si>
  <si>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</si>
  <si>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</si>
  <si>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</si>
  <si>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</si>
  <si>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</si>
  <si>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</si>
  <si>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</si>
  <si>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</si>
  <si>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</si>
  <si>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</si>
  <si>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</si>
  <si>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</si>
  <si>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</si>
  <si>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</si>
  <si>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</si>
  <si>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</si>
  <si>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</si>
  <si>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</si>
  <si>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</si>
  <si>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</si>
  <si>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</si>
  <si>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</si>
  <si>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</si>
  <si>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</si>
  <si>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</si>
  <si>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</si>
  <si>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</si>
  <si>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</si>
  <si>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</si>
  <si>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</si>
  <si>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</si>
  <si>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</si>
  <si>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</si>
  <si>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</si>
  <si>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</si>
  <si>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</si>
  <si>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</si>
  <si>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</si>
  <si>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</si>
  <si>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</si>
  <si>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</si>
  <si>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</si>
  <si>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</si>
  <si>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</si>
  <si>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</si>
  <si>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</si>
  <si>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</si>
  <si>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</si>
  <si>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</si>
  <si>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</si>
  <si>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</si>
  <si>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</si>
  <si>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</si>
  <si>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</si>
  <si>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</si>
  <si>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</si>
  <si>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</si>
  <si>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</si>
  <si>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</si>
  <si>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</si>
  <si>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</si>
  <si>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</si>
  <si>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</si>
  <si>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</si>
  <si>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</si>
  <si>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</si>
  <si>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</si>
  <si>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</si>
  <si>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</si>
  <si>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</si>
  <si>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</si>
  <si>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</si>
  <si>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</si>
  <si>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</si>
  <si>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</si>
  <si>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</si>
  <si>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</si>
  <si>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</si>
  <si>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</si>
  <si>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</si>
  <si>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</si>
  <si>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</si>
  <si>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</si>
  <si>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</si>
  <si>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</si>
  <si>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</si>
  <si>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</si>
  <si>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</si>
  <si>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</si>
  <si>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</si>
  <si>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</si>
  <si>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</si>
  <si>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</si>
  <si>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</si>
  <si>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</si>
  <si>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</si>
  <si>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</si>
  <si>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</si>
  <si>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</si>
  <si>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</si>
  <si>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</si>
  <si>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</si>
  <si>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</si>
  <si>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</si>
  <si>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</si>
  <si>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</si>
  <si>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</si>
  <si>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</si>
  <si>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</si>
  <si>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</si>
  <si>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</si>
  <si>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</si>
  <si>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</si>
  <si>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</si>
  <si>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</si>
  <si>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</si>
  <si>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</si>
  <si>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</si>
  <si>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</si>
  <si>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</si>
  <si>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</si>
  <si>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</si>
  <si>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</si>
  <si>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</si>
  <si>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</si>
  <si>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</si>
  <si>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</si>
  <si>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</si>
  <si>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</si>
  <si>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</si>
  <si>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</si>
  <si>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</si>
  <si>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</si>
  <si>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</si>
  <si>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</si>
  <si>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</si>
  <si>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</si>
  <si>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</si>
  <si>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</si>
  <si>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</si>
  <si>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</si>
  <si>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</si>
  <si>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</si>
  <si>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</si>
  <si>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</si>
  <si>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</si>
  <si>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</si>
  <si>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</si>
  <si>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</si>
  <si>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</si>
  <si>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</si>
  <si>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</si>
  <si>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</si>
  <si>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</si>
  <si>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</si>
  <si>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</si>
  <si>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</si>
  <si>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</si>
  <si>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</si>
  <si>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</si>
  <si>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</si>
  <si>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</si>
  <si>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</si>
  <si>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</si>
  <si>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</si>
  <si>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</si>
  <si>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</si>
  <si>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</si>
  <si>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</si>
  <si>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</si>
  <si>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</si>
  <si>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</si>
  <si>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</si>
  <si>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</si>
  <si>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</si>
  <si>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</si>
  <si>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</si>
  <si>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</si>
  <si>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</si>
  <si>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</si>
  <si>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</si>
  <si>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</si>
  <si>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</si>
  <si>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</si>
  <si>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</si>
  <si>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</si>
  <si>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</si>
  <si>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</si>
  <si>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</si>
  <si>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</si>
  <si>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</si>
  <si>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</si>
  <si>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</si>
  <si>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</si>
  <si>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</si>
  <si>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</si>
  <si>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</si>
  <si>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</si>
  <si>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</si>
  <si>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</si>
  <si>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</si>
  <si>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</si>
  <si>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</si>
  <si>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</si>
  <si>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</si>
  <si>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</si>
  <si>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</si>
  <si>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</si>
  <si>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</si>
  <si>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</si>
  <si>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</si>
  <si>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</si>
  <si>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</si>
  <si>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</si>
  <si>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</si>
  <si>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</si>
  <si>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</si>
  <si>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</si>
  <si>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</si>
  <si>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</si>
  <si>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</si>
  <si>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</si>
  <si>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</si>
  <si>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</si>
  <si>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</si>
  <si>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</si>
  <si>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</si>
  <si>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</si>
  <si>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</si>
  <si>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</si>
  <si>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</si>
  <si>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</si>
  <si>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</si>
  <si>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</si>
  <si>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</si>
  <si>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</si>
  <si>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</si>
  <si>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</si>
  <si>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</si>
  <si>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</si>
  <si>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</si>
  <si>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</si>
  <si>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</si>
  <si>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</si>
  <si>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</si>
  <si>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</si>
  <si>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</si>
  <si>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</si>
  <si>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</si>
  <si>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</si>
  <si>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</si>
  <si>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</si>
  <si>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</si>
  <si>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</si>
  <si>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</si>
  <si>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</si>
  <si>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</si>
  <si>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</si>
  <si>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</si>
  <si>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</si>
  <si>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</si>
  <si>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</si>
  <si>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</si>
  <si>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</si>
  <si>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</si>
  <si>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</si>
  <si>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</si>
  <si>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</si>
  <si>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</si>
  <si>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</si>
  <si>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</si>
  <si>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</si>
  <si>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</si>
  <si>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</si>
  <si>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</si>
  <si>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</si>
  <si>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</si>
  <si>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</si>
  <si>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</si>
  <si>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</si>
  <si>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</si>
  <si>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</si>
  <si>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</si>
  <si>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</si>
  <si>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</si>
  <si>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</si>
  <si>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</si>
  <si>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</si>
  <si>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</si>
  <si>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</si>
  <si>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</si>
  <si>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</si>
  <si>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</si>
  <si>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</si>
  <si>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</si>
  <si>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</si>
  <si>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</si>
  <si>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</si>
  <si>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</si>
  <si>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</si>
  <si>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</si>
  <si>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</si>
  <si>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</si>
  <si>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</si>
  <si>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</si>
  <si>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</si>
  <si>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</si>
  <si>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</si>
  <si>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</si>
  <si>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</si>
  <si>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</si>
  <si>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</si>
  <si>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</si>
  <si>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</si>
  <si>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</si>
  <si>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</si>
  <si>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</si>
  <si>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</si>
  <si>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</si>
  <si>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</si>
  <si>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</si>
  <si>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</si>
  <si>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</si>
  <si>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</si>
  <si>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</si>
  <si>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</si>
  <si>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</si>
  <si>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</si>
  <si>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</si>
  <si>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</si>
  <si>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</si>
  <si>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</si>
  <si>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</si>
  <si>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</si>
  <si>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</si>
  <si>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</si>
  <si>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</si>
  <si>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</si>
  <si>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</si>
  <si>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</si>
  <si>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</si>
  <si>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</si>
  <si>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</si>
  <si>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</si>
  <si>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</si>
  <si>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</si>
  <si>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</si>
  <si>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</si>
  <si>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</si>
  <si>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</si>
  <si>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</si>
  <si>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</si>
  <si>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</si>
  <si>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</si>
  <si>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</si>
  <si>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</si>
  <si>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</si>
  <si>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</si>
  <si>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</si>
  <si>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</si>
  <si>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</si>
  <si>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</si>
  <si>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</si>
  <si>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</si>
  <si>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</si>
  <si>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</si>
  <si>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</si>
  <si>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</si>
  <si>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</si>
  <si>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</si>
  <si>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</si>
  <si>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</si>
  <si>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</si>
  <si>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</si>
  <si>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</si>
  <si>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</si>
  <si>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</si>
  <si>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</si>
  <si>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</si>
  <si>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</si>
  <si>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</si>
  <si>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</si>
  <si>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</si>
  <si>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</si>
  <si>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</si>
  <si>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</si>
  <si>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</si>
  <si>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</si>
  <si>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</si>
  <si>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</si>
  <si>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</si>
  <si>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</si>
  <si>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</si>
  <si>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</si>
  <si>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</si>
  <si>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</si>
  <si>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</si>
  <si>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</si>
  <si>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</si>
  <si>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</si>
  <si>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</si>
  <si>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</si>
  <si>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</si>
  <si>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</si>
  <si>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</si>
  <si>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</si>
  <si>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</si>
  <si>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</si>
  <si>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</si>
  <si>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</si>
  <si>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</si>
  <si>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</si>
  <si>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</si>
  <si>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</si>
  <si>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</si>
  <si>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</si>
  <si>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</si>
  <si>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</si>
  <si>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</si>
  <si>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</si>
  <si>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</si>
  <si>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</si>
  <si>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</si>
  <si>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</si>
  <si>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</si>
  <si>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</si>
  <si>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</si>
  <si>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</si>
  <si>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</si>
  <si>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</si>
  <si>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</si>
  <si>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</si>
  <si>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</si>
  <si>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</si>
  <si>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</si>
  <si>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</si>
  <si>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</si>
  <si>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</si>
  <si>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</si>
  <si>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</si>
  <si>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</si>
  <si>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</si>
  <si>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</si>
  <si>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</si>
  <si>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</si>
  <si>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</si>
  <si>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</si>
  <si>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</si>
  <si>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</si>
  <si>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</si>
  <si>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</si>
  <si>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</si>
  <si>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</si>
  <si>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</si>
  <si>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</si>
  <si>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</si>
  <si>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</si>
  <si>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</si>
  <si>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</si>
  <si>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</si>
  <si>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</si>
  <si>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</si>
  <si>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</si>
  <si>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</si>
  <si>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</si>
  <si>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</si>
  <si>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</si>
  <si>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</si>
  <si>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</si>
  <si>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</si>
  <si>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</si>
  <si>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</si>
  <si>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</si>
  <si>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</si>
  <si>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</si>
  <si>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</si>
  <si>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</si>
  <si>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</si>
  <si>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</si>
  <si>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</si>
  <si>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</si>
  <si>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</si>
  <si>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</si>
  <si>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</si>
  <si>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</si>
  <si>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</si>
  <si>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</si>
  <si>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</si>
  <si>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</si>
  <si>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</si>
  <si>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</si>
  <si>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</si>
  <si>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</si>
  <si>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</si>
  <si>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</si>
  <si>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</si>
  <si>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</si>
  <si>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</si>
  <si>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</si>
  <si>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</si>
  <si>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</si>
  <si>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</si>
  <si>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</si>
  <si>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</si>
  <si>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</si>
  <si>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</si>
  <si>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</si>
  <si>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</si>
  <si>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</si>
  <si>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</si>
  <si>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</si>
  <si>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</si>
  <si>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</si>
  <si>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</si>
  <si>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</si>
  <si>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</si>
  <si>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</si>
  <si>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</si>
  <si>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</si>
  <si>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</si>
  <si>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</si>
  <si>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</si>
  <si>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</si>
  <si>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</si>
  <si>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</si>
  <si>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</si>
  <si>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</si>
  <si>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</si>
  <si>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</si>
  <si>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</si>
  <si>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</si>
  <si>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</si>
  <si>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</si>
  <si>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</si>
  <si>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</si>
  <si>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</si>
  <si>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</si>
  <si>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</si>
  <si>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</si>
  <si>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</si>
  <si>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</si>
  <si>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</si>
  <si>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</si>
  <si>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</si>
  <si>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</si>
  <si>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</si>
  <si>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</si>
  <si>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</si>
  <si>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</si>
  <si>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</si>
  <si>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</si>
  <si>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</si>
  <si>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</si>
  <si>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</si>
  <si>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</si>
  <si>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</si>
  <si>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</si>
  <si>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</si>
  <si>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</si>
  <si>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</si>
  <si>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</si>
  <si>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</si>
  <si>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</si>
  <si>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</si>
  <si>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</si>
  <si>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</si>
  <si>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</si>
  <si>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</si>
  <si>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</si>
  <si>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</si>
  <si>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</si>
  <si>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</si>
  <si>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</si>
  <si>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</si>
  <si>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</si>
  <si>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</si>
  <si>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</si>
  <si>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</si>
  <si>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</si>
  <si>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</si>
  <si>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</si>
  <si>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</si>
  <si>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</si>
  <si>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</si>
  <si>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</si>
  <si>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</si>
  <si>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</si>
  <si>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</si>
  <si>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</si>
  <si>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</si>
  <si>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</si>
  <si>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</si>
  <si>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</si>
  <si>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</si>
  <si>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</si>
  <si>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</si>
  <si>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</si>
  <si>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</si>
  <si>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</si>
  <si>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</si>
  <si>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</si>
  <si>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</si>
  <si>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</si>
  <si>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</si>
  <si>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</si>
  <si>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</si>
  <si>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</si>
  <si>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</si>
  <si>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</si>
  <si>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</si>
  <si>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</si>
  <si>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</si>
  <si>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</si>
  <si>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</si>
  <si>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</si>
  <si>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</si>
  <si>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</si>
  <si>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</si>
  <si>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</si>
  <si>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</si>
  <si>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</si>
  <si>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</si>
  <si>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</si>
  <si>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</si>
  <si>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</si>
  <si>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</si>
  <si>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</si>
  <si>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</si>
  <si>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</si>
  <si>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</si>
  <si>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</si>
  <si>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</si>
  <si>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</si>
  <si>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</si>
  <si>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</si>
  <si>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</si>
  <si>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</si>
  <si>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</si>
  <si>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</si>
  <si>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</si>
  <si>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</si>
  <si>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</si>
  <si>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</si>
  <si>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</si>
  <si>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</si>
  <si>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</si>
  <si>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</si>
  <si>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</si>
  <si>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</si>
  <si>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</si>
  <si>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</si>
  <si>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</si>
  <si>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</si>
  <si>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</si>
  <si>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</si>
  <si>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</si>
  <si>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</si>
  <si>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</si>
  <si>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</si>
  <si>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</si>
  <si>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</si>
  <si>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</si>
  <si>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</si>
  <si>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</si>
  <si>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</si>
  <si>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</si>
  <si>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</si>
  <si>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</si>
  <si>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</si>
  <si>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</si>
  <si>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</si>
  <si>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</si>
  <si>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</si>
  <si>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</si>
  <si>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</si>
  <si>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</si>
  <si>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</si>
  <si>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</si>
  <si>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</si>
  <si>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</si>
  <si>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</si>
  <si>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</si>
  <si>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</si>
  <si>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</si>
  <si>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</si>
  <si>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</si>
  <si>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</si>
  <si>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</si>
  <si>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</si>
  <si>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</si>
  <si>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</si>
  <si>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</si>
  <si>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</si>
  <si>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</si>
  <si>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</si>
  <si>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</si>
  <si>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</si>
  <si>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</si>
  <si>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</si>
  <si>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</si>
  <si>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</si>
  <si>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</si>
  <si>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</si>
  <si>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</si>
  <si>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</si>
  <si>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</si>
  <si>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</si>
  <si>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</si>
  <si>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</si>
  <si>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</si>
  <si>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</si>
  <si>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</si>
  <si>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</si>
  <si>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</si>
  <si>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</si>
  <si>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</si>
  <si>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</si>
  <si>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</si>
  <si>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</si>
  <si>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</si>
  <si>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</si>
  <si>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</si>
  <si>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</si>
  <si>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</si>
  <si>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</si>
  <si>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</si>
  <si>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</si>
  <si>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</si>
  <si>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</si>
  <si>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</si>
  <si>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</si>
  <si>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</si>
  <si>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</si>
  <si>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</si>
  <si>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</si>
  <si>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</si>
  <si>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</si>
  <si>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</si>
  <si>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</si>
  <si>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</si>
  <si>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</si>
  <si>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</si>
  <si>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</si>
  <si>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</si>
  <si>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</si>
  <si>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</si>
  <si>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</si>
  <si>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</si>
  <si>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</si>
  <si>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</si>
  <si>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</si>
  <si>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</si>
  <si>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</si>
  <si>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</si>
  <si>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</si>
  <si>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</si>
  <si>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</si>
  <si>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</si>
  <si>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</si>
  <si>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</si>
  <si>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</si>
  <si>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</si>
  <si>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</si>
  <si>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</si>
  <si>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</si>
  <si>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</si>
  <si>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</si>
  <si>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</si>
  <si>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</si>
  <si>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</si>
  <si>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</si>
  <si>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</si>
  <si>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</si>
  <si>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</si>
  <si>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</si>
  <si>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</si>
  <si>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</si>
  <si>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</si>
  <si>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</si>
  <si>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</si>
  <si>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</si>
  <si>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</si>
  <si>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</si>
  <si>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</si>
  <si>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</si>
  <si>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</si>
  <si>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</si>
  <si>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</si>
  <si>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</si>
  <si>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</si>
  <si>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</si>
  <si>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</si>
  <si>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</si>
  <si>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</si>
  <si>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</si>
  <si>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</si>
  <si>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</si>
  <si>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</si>
  <si>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</si>
  <si>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</si>
  <si>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</si>
  <si>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</si>
  <si>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</si>
  <si>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</si>
  <si>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</si>
  <si>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</si>
  <si>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</si>
  <si>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</si>
  <si>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</si>
  <si>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</si>
  <si>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</si>
  <si>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</si>
  <si>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</si>
  <si>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</si>
  <si>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</si>
  <si>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</si>
  <si>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</si>
  <si>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</si>
  <si>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</si>
  <si>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</si>
  <si>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</si>
  <si>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</si>
  <si>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</si>
  <si>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</si>
  <si>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</si>
  <si>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</si>
  <si>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</si>
  <si>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</si>
  <si>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</si>
  <si>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</si>
  <si>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</si>
  <si>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</si>
  <si>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</si>
  <si>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</si>
  <si>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</si>
  <si>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</si>
  <si>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</si>
  <si>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</si>
  <si>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</si>
  <si>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</si>
  <si>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</si>
  <si>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</si>
  <si>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</si>
  <si>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</si>
  <si>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</si>
  <si>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</si>
  <si>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</si>
  <si>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</si>
  <si>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</si>
  <si>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</si>
  <si>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</si>
  <si>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</si>
  <si>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</si>
  <si>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</si>
  <si>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</si>
  <si>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</si>
  <si>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</si>
  <si>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</si>
  <si>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</si>
  <si>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</si>
  <si>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</si>
  <si>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</si>
  <si>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</si>
  <si>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</si>
  <si>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</si>
  <si>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</si>
  <si>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</si>
  <si>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</si>
  <si>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</si>
  <si>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</si>
  <si>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</si>
  <si>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</si>
  <si>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</si>
  <si>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</si>
  <si>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</si>
  <si>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</si>
  <si>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</si>
  <si>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</si>
  <si>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</si>
  <si>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</si>
  <si>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</si>
  <si>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</si>
  <si>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</si>
  <si>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</si>
  <si>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</si>
  <si>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</si>
  <si>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</si>
  <si>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</si>
  <si>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</si>
  <si>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</si>
  <si>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</si>
  <si>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</si>
  <si>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</si>
  <si>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</si>
  <si>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</si>
  <si>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</si>
  <si>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</si>
  <si>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</si>
  <si>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</si>
  <si>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</si>
  <si>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</si>
  <si>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</si>
  <si>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</si>
  <si>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</si>
  <si>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</si>
  <si>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</si>
  <si>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</si>
  <si>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</si>
  <si>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</si>
  <si>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</si>
  <si>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</si>
  <si>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</si>
  <si>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</si>
  <si>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</si>
  <si>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</si>
  <si>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</si>
  <si>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</si>
  <si>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</si>
  <si>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</si>
  <si>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</si>
  <si>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</si>
  <si>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</si>
  <si>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</si>
  <si>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</si>
  <si>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</si>
  <si>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</si>
  <si>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</si>
  <si>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</si>
  <si>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</si>
  <si>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</si>
  <si>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</si>
  <si>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</si>
  <si>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</si>
  <si>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</si>
  <si>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</si>
  <si>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</si>
  <si>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</si>
  <si>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</si>
  <si>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</si>
  <si>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</si>
  <si>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</si>
  <si>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</si>
  <si>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</si>
  <si>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</si>
  <si>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</si>
  <si>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</si>
  <si>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</si>
  <si>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</si>
  <si>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</si>
  <si>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</si>
  <si>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</si>
  <si>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</si>
  <si>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</si>
  <si>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</si>
  <si>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</si>
  <si>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</si>
  <si>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</si>
  <si>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</si>
  <si>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</si>
  <si>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</si>
  <si>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</si>
  <si>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</si>
  <si>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</si>
  <si>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</si>
  <si>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</si>
  <si>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</si>
  <si>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</si>
  <si>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</si>
  <si>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</si>
  <si>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</si>
  <si>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</si>
  <si>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</si>
  <si>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</si>
  <si>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</si>
  <si>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</si>
  <si>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</si>
  <si>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</si>
  <si>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</si>
  <si>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</si>
  <si>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</si>
  <si>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</si>
  <si>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</si>
  <si>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</si>
  <si>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</si>
  <si>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</si>
  <si>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</si>
  <si>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</si>
  <si>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</si>
  <si>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</si>
  <si>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</si>
  <si>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</si>
  <si>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</si>
  <si>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</si>
  <si>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</si>
  <si>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</si>
  <si>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</si>
  <si>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</si>
  <si>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</si>
  <si>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</si>
  <si>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</si>
  <si>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</si>
  <si>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</si>
  <si>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</si>
  <si>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</si>
  <si>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</si>
  <si>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</si>
  <si>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</si>
  <si>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</si>
  <si>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</si>
  <si>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</si>
  <si>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</si>
  <si>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</si>
  <si>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</si>
  <si>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</si>
  <si>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</si>
  <si>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</si>
  <si>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</si>
  <si>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</si>
  <si>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</si>
  <si>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</si>
  <si>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</si>
  <si>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</si>
  <si>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</si>
  <si>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</si>
  <si>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</si>
  <si>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</si>
  <si>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</si>
  <si>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</si>
  <si>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</si>
  <si>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</si>
  <si>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</si>
  <si>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</si>
  <si>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</si>
  <si>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</si>
  <si>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</si>
  <si>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</si>
  <si>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</si>
  <si>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</si>
  <si>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</si>
  <si>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</si>
  <si>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</si>
  <si>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</si>
  <si>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</si>
  <si>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</si>
  <si>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</si>
  <si>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</si>
  <si>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</si>
  <si>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</si>
  <si>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</si>
  <si>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</si>
  <si>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</si>
  <si>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</si>
  <si>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</si>
  <si>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</si>
  <si>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</si>
  <si>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</si>
  <si>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</si>
  <si>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</si>
  <si>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</si>
  <si>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</si>
  <si>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</si>
  <si>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</si>
  <si>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</si>
  <si>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</si>
  <si>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</si>
  <si>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</si>
  <si>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</si>
  <si>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</si>
  <si>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</si>
  <si>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</si>
  <si>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</si>
  <si>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</si>
  <si>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</si>
  <si>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</si>
  <si>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</si>
  <si>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</si>
  <si>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</si>
  <si>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</si>
  <si>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</si>
  <si>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</si>
  <si>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</si>
  <si>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</si>
  <si>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</si>
  <si>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</si>
  <si>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</si>
  <si>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</si>
  <si>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</si>
  <si>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</si>
  <si>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</si>
  <si>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</si>
  <si>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</si>
  <si>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</si>
  <si>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</si>
  <si>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</si>
  <si>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</si>
  <si>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</si>
  <si>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</si>
  <si>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</si>
  <si>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</si>
  <si>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</si>
  <si>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</si>
  <si>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</si>
  <si>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</si>
  <si>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</si>
  <si>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</si>
  <si>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</si>
  <si>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</si>
  <si>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</si>
  <si>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</si>
  <si>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</si>
  <si>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</si>
  <si>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</si>
  <si>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</si>
  <si>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</si>
  <si>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</si>
  <si>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</si>
  <si>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</si>
  <si>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</si>
  <si>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</si>
  <si>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</si>
  <si>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</si>
  <si>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</si>
  <si>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</si>
  <si>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</si>
  <si>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</si>
  <si>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</si>
  <si>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</si>
  <si>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</si>
  <si>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</si>
  <si>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</si>
  <si>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</si>
  <si>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</si>
  <si>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</si>
  <si>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</si>
  <si>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</si>
  <si>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</si>
  <si>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</si>
  <si>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</si>
  <si>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</si>
  <si>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</si>
  <si>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</si>
  <si>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</si>
  <si>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</si>
  <si>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</si>
  <si>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</si>
  <si>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</si>
  <si>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</si>
  <si>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</si>
  <si>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</si>
  <si>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</si>
  <si>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</si>
  <si>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</si>
  <si>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</si>
  <si>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</si>
  <si>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</si>
  <si>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</si>
  <si>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</si>
  <si>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</si>
  <si>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</si>
  <si>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</si>
  <si>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</si>
  <si>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</si>
  <si>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</si>
  <si>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</si>
  <si>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</si>
  <si>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</si>
  <si>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</si>
  <si>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</si>
  <si>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</si>
  <si>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</si>
  <si>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</si>
  <si>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</si>
  <si>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</si>
  <si>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</si>
  <si>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</si>
  <si>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</si>
  <si>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</si>
  <si>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</si>
  <si>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</si>
  <si>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</si>
  <si>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</si>
  <si>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</si>
  <si>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</si>
  <si>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</si>
  <si>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</si>
  <si>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</si>
  <si>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</si>
  <si>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</si>
  <si>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</si>
  <si>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</si>
  <si>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</si>
  <si>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</si>
  <si>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</si>
  <si>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</si>
  <si>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</si>
  <si>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</si>
  <si>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</si>
  <si>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</si>
  <si>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</si>
  <si>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</si>
  <si>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</si>
  <si>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</si>
  <si>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</si>
  <si>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</si>
  <si>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</si>
  <si>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</si>
  <si>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</si>
  <si>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</si>
  <si>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</si>
  <si>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</si>
  <si>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</si>
  <si>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</si>
  <si>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</si>
  <si>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</si>
  <si>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</si>
  <si>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</si>
  <si>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</si>
  <si>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</si>
  <si>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</si>
  <si>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</si>
  <si>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</si>
  <si>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</si>
  <si>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</si>
  <si>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</si>
  <si>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</si>
  <si>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</si>
  <si>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</si>
  <si>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</si>
  <si>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</si>
  <si>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</si>
  <si>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</si>
  <si>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</si>
  <si>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</si>
  <si>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</si>
  <si>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</si>
  <si>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</si>
  <si>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</si>
  <si>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</si>
  <si>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</si>
  <si>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</si>
  <si>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</si>
  <si>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</si>
  <si>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</si>
  <si>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</si>
  <si>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</si>
  <si>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</si>
  <si>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</si>
  <si>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</si>
  <si>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</si>
  <si>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</si>
  <si>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</si>
  <si>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</si>
  <si>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</si>
  <si>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</si>
  <si>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</si>
  <si>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</si>
  <si>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</si>
  <si>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</si>
  <si>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</si>
  <si>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</si>
  <si>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</si>
  <si>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</si>
  <si>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</si>
  <si>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</si>
  <si>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</si>
  <si>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</si>
  <si>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</si>
  <si>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</si>
  <si>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</si>
  <si>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</si>
  <si>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</si>
  <si>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</si>
  <si>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</si>
  <si>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</si>
  <si>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</si>
  <si>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</si>
  <si>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</si>
  <si>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</si>
  <si>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</si>
  <si>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</si>
  <si>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</si>
  <si>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</si>
  <si>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</si>
  <si>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</si>
  <si>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</si>
  <si>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</si>
  <si>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</si>
  <si>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</si>
  <si>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</si>
  <si>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</si>
  <si>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</si>
  <si>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</si>
  <si>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</si>
  <si>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</si>
  <si>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</si>
  <si>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</si>
  <si>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</si>
  <si>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</si>
  <si>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</si>
  <si>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</si>
  <si>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</si>
  <si>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</si>
  <si>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</si>
  <si>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</si>
  <si>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</si>
  <si>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</si>
  <si>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</si>
  <si>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</si>
  <si>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</si>
  <si>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</si>
  <si>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</si>
  <si>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</si>
  <si>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</si>
  <si>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</si>
  <si>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</si>
  <si>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</si>
  <si>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</si>
  <si>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</si>
  <si>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</si>
  <si>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</si>
  <si>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</si>
  <si>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</si>
  <si>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</si>
  <si>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</si>
  <si>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</si>
  <si>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</si>
  <si>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</si>
  <si>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</si>
  <si>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</si>
  <si>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</si>
  <si>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</si>
  <si>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</si>
  <si>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</si>
  <si>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</si>
  <si>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</si>
  <si>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</si>
  <si>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</si>
  <si>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</si>
  <si>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</si>
  <si>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</si>
  <si>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</si>
  <si>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</si>
  <si>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</si>
  <si>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</si>
  <si>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</si>
  <si>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</si>
  <si>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</si>
  <si>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</si>
  <si>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</si>
  <si>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</si>
  <si>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</si>
  <si>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</si>
  <si>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</si>
  <si>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</si>
  <si>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</si>
  <si>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</si>
  <si>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</si>
  <si>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</si>
  <si>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</si>
  <si>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</si>
  <si>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</si>
  <si>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</si>
  <si>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</si>
  <si>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</si>
  <si>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</si>
  <si>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</si>
  <si>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</si>
  <si>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</si>
  <si>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</si>
  <si>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</si>
  <si>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</si>
  <si>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</si>
  <si>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</si>
  <si>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</si>
  <si>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</si>
  <si>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</si>
  <si>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</si>
  <si>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</si>
  <si>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</si>
  <si>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</si>
  <si>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</si>
  <si>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</si>
  <si>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</si>
  <si>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</si>
  <si>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</si>
  <si>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</si>
  <si>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</si>
  <si>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</si>
  <si>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</si>
  <si>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</si>
  <si>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</si>
  <si>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</si>
  <si>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</si>
  <si>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</si>
  <si>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</si>
  <si>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</si>
  <si>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</si>
  <si>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</si>
  <si>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</si>
  <si>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</si>
  <si>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</si>
  <si>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</si>
  <si>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</si>
  <si>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</si>
  <si>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</si>
  <si>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</si>
  <si>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</si>
  <si>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</si>
  <si>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</si>
  <si>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</si>
  <si>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</si>
  <si>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</si>
  <si>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</si>
  <si>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</si>
  <si>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</si>
  <si>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</si>
  <si>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</si>
  <si>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</si>
  <si>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</si>
  <si>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</si>
  <si>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</si>
  <si>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</si>
  <si>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</si>
  <si>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</si>
  <si>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</si>
  <si>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</si>
  <si>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</si>
  <si>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</si>
  <si>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</si>
  <si>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</si>
  <si>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</si>
  <si>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</si>
  <si>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</si>
  <si>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</si>
  <si>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</si>
  <si>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</si>
  <si>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</si>
  <si>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</si>
  <si>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</si>
  <si>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</si>
  <si>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</si>
  <si>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</si>
  <si>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</si>
  <si>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</si>
  <si>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</si>
  <si>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</si>
  <si>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</si>
  <si>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</si>
  <si>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</si>
  <si>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</si>
  <si>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</si>
  <si>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</si>
  <si>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</si>
  <si>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</si>
  <si>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</si>
  <si>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</si>
  <si>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</si>
  <si>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</si>
  <si>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</si>
  <si>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</si>
  <si>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</si>
  <si>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</si>
  <si>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</si>
  <si>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</si>
  <si>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</si>
  <si>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</si>
  <si>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</si>
  <si>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</si>
  <si>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</si>
  <si>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</si>
  <si>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</si>
  <si>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</si>
  <si>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</si>
  <si>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</si>
  <si>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</si>
  <si>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</si>
  <si>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</si>
  <si>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</si>
  <si>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</si>
  <si>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</si>
  <si>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</si>
  <si>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</si>
  <si>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</si>
  <si>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</si>
  <si>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</si>
  <si>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</si>
  <si>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</si>
  <si>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</si>
  <si>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</si>
  <si>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</si>
  <si>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</si>
  <si>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</si>
  <si>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</si>
  <si>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</si>
  <si>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</si>
  <si>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</si>
  <si>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</si>
  <si>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</si>
  <si>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</si>
  <si>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</si>
  <si>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</si>
  <si>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</si>
  <si>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</si>
  <si>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</si>
  <si>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</si>
  <si>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</si>
  <si>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</si>
  <si>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</si>
  <si>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</si>
  <si>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</si>
  <si>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</si>
  <si>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</si>
  <si>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</si>
  <si>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</si>
  <si>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</si>
  <si>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</si>
  <si>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</si>
  <si>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</si>
  <si>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</si>
  <si>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</si>
  <si>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</si>
  <si>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</si>
  <si>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</si>
  <si>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</si>
  <si>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</si>
  <si>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</si>
  <si>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</si>
  <si>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</si>
  <si>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</si>
  <si>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</si>
  <si>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</si>
  <si>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</si>
  <si>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</si>
  <si>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</si>
  <si>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</si>
  <si>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</si>
  <si>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</si>
  <si>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</si>
  <si>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</si>
  <si>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</si>
  <si>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</si>
  <si>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</si>
  <si>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</si>
  <si>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</si>
  <si>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</si>
  <si>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</si>
  <si>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</si>
  <si>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</si>
  <si>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</si>
  <si>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</si>
  <si>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</si>
  <si>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</si>
  <si>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</si>
  <si>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</si>
  <si>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</si>
  <si>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</si>
  <si>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</si>
  <si>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</si>
  <si>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</si>
  <si>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</si>
  <si>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</si>
  <si>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</si>
  <si>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</si>
  <si>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</si>
  <si>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</si>
  <si>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</si>
  <si>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</si>
  <si>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</si>
  <si>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</si>
  <si>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</si>
  <si>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</si>
  <si>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</si>
  <si>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</si>
  <si>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</si>
  <si>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</si>
  <si>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</si>
  <si>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</si>
  <si>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</si>
  <si>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</si>
  <si>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</si>
  <si>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</si>
  <si>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</si>
  <si>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</si>
  <si>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</si>
  <si>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</si>
  <si>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</si>
  <si>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</si>
  <si>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</si>
  <si>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</si>
  <si>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</si>
  <si>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</si>
  <si>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</si>
  <si>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</si>
  <si>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</si>
  <si>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</si>
  <si>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</si>
  <si>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</si>
  <si>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</si>
  <si>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</si>
  <si>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</si>
  <si>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</si>
  <si>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</si>
  <si>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</si>
  <si>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</si>
  <si>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</si>
  <si>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</si>
  <si>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</si>
  <si>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</si>
  <si>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</si>
  <si>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</si>
  <si>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</si>
  <si>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</si>
  <si>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</si>
  <si>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</si>
  <si>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</si>
  <si>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</si>
  <si>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</si>
  <si>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</si>
  <si>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</si>
  <si>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</si>
  <si>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</si>
  <si>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</si>
  <si>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</si>
  <si>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</si>
  <si>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</si>
  <si>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</si>
  <si>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</si>
  <si>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</si>
  <si>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</si>
  <si>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</si>
  <si>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</si>
  <si>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</si>
  <si>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</si>
  <si>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</si>
  <si>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</si>
  <si>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</si>
  <si>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</si>
  <si>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</si>
  <si>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</si>
  <si>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</si>
  <si>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</si>
  <si>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</si>
  <si>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</si>
  <si>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</si>
  <si>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</si>
  <si>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</si>
  <si>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</si>
  <si>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</si>
  <si>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</si>
  <si>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</si>
  <si>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</si>
  <si>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</si>
  <si>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</si>
  <si>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</si>
  <si>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</si>
  <si>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</si>
  <si>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</si>
  <si>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</si>
  <si>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</si>
  <si>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</si>
  <si>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</si>
  <si>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</si>
  <si>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</si>
  <si>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</si>
  <si>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</si>
  <si>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</si>
  <si>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</si>
  <si>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</si>
  <si>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</si>
  <si>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</si>
  <si>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</si>
  <si>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</si>
  <si>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</si>
  <si>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</si>
  <si>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</si>
  <si>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</si>
  <si>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</si>
  <si>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</si>
  <si>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</si>
  <si>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</si>
  <si>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</si>
  <si>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</si>
  <si>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</si>
  <si>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</si>
  <si>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</si>
  <si>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</si>
  <si>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</si>
  <si>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</si>
  <si>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</si>
  <si>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</si>
  <si>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</si>
  <si>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</si>
  <si>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</si>
  <si>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</si>
  <si>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</si>
  <si>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</si>
  <si>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</si>
  <si>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</si>
  <si>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</si>
  <si>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</si>
  <si>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</si>
  <si>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</si>
  <si>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</si>
  <si>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</si>
  <si>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</si>
  <si>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</si>
  <si>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</si>
  <si>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</si>
  <si>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</si>
  <si>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</si>
  <si>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</si>
  <si>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</si>
  <si>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</si>
  <si>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</si>
  <si>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</si>
  <si>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</si>
  <si>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</si>
  <si>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</si>
  <si>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</si>
  <si>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</si>
  <si>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</si>
  <si>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</si>
  <si>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</si>
  <si>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</si>
  <si>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</si>
  <si>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</si>
  <si>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</si>
  <si>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</si>
  <si>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</si>
  <si>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</si>
  <si>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</si>
  <si>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</si>
  <si>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</si>
  <si>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</si>
  <si>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</si>
  <si>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</si>
  <si>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</si>
  <si>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</si>
  <si>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</si>
  <si>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</si>
  <si>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</si>
  <si>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</si>
  <si>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</si>
  <si>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</si>
  <si>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</si>
  <si>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</si>
  <si>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</si>
  <si>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</si>
  <si>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</si>
  <si>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</si>
  <si>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</si>
  <si>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</si>
  <si>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</si>
  <si>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</si>
  <si>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</si>
  <si>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</si>
  <si>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</si>
  <si>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</si>
  <si>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</si>
  <si>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</si>
  <si>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</si>
  <si>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</si>
  <si>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</si>
  <si>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</si>
  <si>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</si>
  <si>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</si>
  <si>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</si>
  <si>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</si>
  <si>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</si>
  <si>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</si>
  <si>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</si>
  <si>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</si>
  <si>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</si>
  <si>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</si>
  <si>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</si>
  <si>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</si>
  <si>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</si>
  <si>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</si>
  <si>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</si>
  <si>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</si>
  <si>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</si>
  <si>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</si>
  <si>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</si>
  <si>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</si>
  <si>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</si>
  <si>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</si>
  <si>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</si>
  <si>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</si>
  <si>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</si>
  <si>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</si>
  <si>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</si>
  <si>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</si>
  <si>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</si>
  <si>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</si>
  <si>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</si>
  <si>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</si>
  <si>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</si>
  <si>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</si>
  <si>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</si>
  <si>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</si>
  <si>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</si>
  <si>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</si>
  <si>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</si>
  <si>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</si>
  <si>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</si>
  <si>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</si>
  <si>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</si>
  <si>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</si>
  <si>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</si>
  <si>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</si>
  <si>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</si>
  <si>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</si>
  <si>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</si>
  <si>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</si>
  <si>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</si>
  <si>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</si>
  <si>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</si>
  <si>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</si>
  <si>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</si>
  <si>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</si>
  <si>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</si>
  <si>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</si>
  <si>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</si>
  <si>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</si>
  <si>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</si>
  <si>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</si>
  <si>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</si>
  <si>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</si>
  <si>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</si>
  <si>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</si>
  <si>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</si>
  <si>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</si>
  <si>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</si>
  <si>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</si>
  <si>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</si>
  <si>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</si>
  <si>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</si>
  <si>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</si>
  <si>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</si>
  <si>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</si>
  <si>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</si>
  <si>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</si>
  <si>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</si>
  <si>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</si>
  <si>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</si>
  <si>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</si>
  <si>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</si>
  <si>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</si>
  <si>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</si>
  <si>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</si>
  <si>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</si>
  <si>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</si>
  <si>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</si>
  <si>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</si>
  <si>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</si>
  <si>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</si>
  <si>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</si>
  <si>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</si>
  <si>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</si>
  <si>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</si>
  <si>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</si>
  <si>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</si>
  <si>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</si>
  <si>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</si>
  <si>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Σκοπός(-οί) του σχεδίου</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</si>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</sst>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0" xfId="0" applyFont="1" applyAlignment="1">
      <alignment horizontal="left" vertical="top"/>
    </xf>
    <xf numFmtId="0" fontId="1" fillId="0" borderId="26" xfId="0" applyFont="1" applyBorder="1" applyAlignment="1">
      <alignment horizontal="left" vertical="top"/>
    </xf>
    <xf numFmtId="0" fontId="0" fillId="0" borderId="0" xfId="0" applyBorder="1" applyAlignment="1" applyProtection="1">
      <alignment horizontal="center" vertical="top"/>
    </xf>
    <xf numFmtId="0" fontId="0" fillId="0" borderId="16" xfId="0" applyFont="1" applyBorder="1" applyAlignment="1">
      <alignment horizontal="left" vertical="top"/>
    </xf>
    <xf numFmtId="49" fontId="8" fillId="2" borderId="13" xfId="3" applyNumberFormat="1"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protection locked="0"/>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0" fillId="0" borderId="0" xfId="0" applyFont="1" applyBorder="1" applyAlignment="1">
      <alignment horizontal="left" vertical="top"/>
    </xf>
    <xf numFmtId="0" fontId="8" fillId="2" borderId="13" xfId="3" applyFont="1" applyBorder="1" applyAlignment="1" applyProtection="1">
      <alignment horizontal="left" vertical="top"/>
      <protection locked="0"/>
    </xf>
    <xf numFmtId="0" fontId="8" fillId="2" borderId="13" xfId="3" applyFont="1" applyBorder="1" applyAlignment="1" applyProtection="1">
      <alignment horizontal="left" vertical="top" wrapText="1"/>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0" fillId="0" borderId="0" xfId="0" applyNumberFormat="1" applyBorder="1" applyAlignment="1" applyProtection="1">
      <alignment horizontal="left" vertical="top" wrapText="1"/>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16" xfId="0" applyFont="1" applyBorder="1"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1" fillId="0" borderId="0" xfId="0" applyFont="1" applyBorder="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0" fillId="0" borderId="16" xfId="0" applyBorder="1"/>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Énfasis2" xfId="4" builtinId="34"/>
    <cellStyle name="Hipervínculo" xfId="5" builtinId="8"/>
    <cellStyle name="Normal" xfId="0" builtinId="0"/>
    <cellStyle name="Salida" xfId="3" builtinId="21"/>
    <cellStyle name="Texto explicativo" xfId="1" builtinId="53"/>
    <cellStyle name="Título" xfId="2" builtinId="15"/>
    <cellStyle name="Título 3" xfId="6" builtinId="18"/>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6" name="keywords" displayName="keywords" ref="B9:B14" totalsRowShown="0" headerRowDxfId="24" dataDxfId="23">
  <tableColumns count="1">
    <tableColumn id="1"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20"/>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16" dataDxfId="15">
  <tableColumns count="6">
    <tableColumn id="6" name="xs:species" dataDxfId="14"/>
    <tableColumn id="2" name="xs:nonRecovery" dataDxfId="13"/>
    <tableColumn id="3" name="xs:mild" dataDxfId="12"/>
    <tableColumn id="4" name="xs:moderate" dataDxfId="11"/>
    <tableColumn id="5" name="xs:severe" dataDxfId="10"/>
    <tableColumn id="10" name="xs:custom" dataDxfId="9"/>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5" dataDxfId="4">
  <tableColumns count="4">
    <tableColumn id="5" name="xs:species" dataDxfId="3"/>
    <tableColumn id="2" name="xs:reused" dataDxfId="2"/>
    <tableColumn id="3" name="xs:returned" dataDxfId="1"/>
    <tableColumn id="4"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60"/>
  <sheetViews>
    <sheetView tabSelected="1" topLeftCell="C7" zoomScale="85" zoomScaleNormal="85" workbookViewId="0">
      <selection activeCell="C26" sqref="C26:F26"/>
    </sheetView>
  </sheetViews>
  <sheetFormatPr baseColWidth="10" defaultColWidth="9" defaultRowHeight="15" x14ac:dyDescent="0.25"/>
  <cols>
    <col min="1" max="1" width="13.140625" style="3" hidden="1" customWidth="1"/>
    <col min="2" max="2" width="16.28515625" style="4" hidden="1" customWidth="1"/>
    <col min="3" max="3" width="49.28515625" style="11" customWidth="1"/>
    <col min="4" max="4" width="12" style="14" customWidth="1"/>
    <col min="5" max="5" width="29.7109375" style="12" customWidth="1"/>
    <col min="6" max="6" width="15.140625" style="2" customWidth="1"/>
    <col min="7" max="7" width="2.140625" style="10" customWidth="1"/>
    <col min="8" max="8" width="55.140625" style="47" customWidth="1"/>
    <col min="9" max="9" width="75.28515625" style="30" customWidth="1"/>
    <col min="10" max="16384" width="9" style="2"/>
  </cols>
  <sheetData>
    <row r="1" spans="1:9" ht="23.25" x14ac:dyDescent="0.25">
      <c r="A1" s="3" t="s">
        <v>7</v>
      </c>
      <c r="B1" s="4" t="s">
        <v>7</v>
      </c>
      <c r="C1" s="132" t="str">
        <f>UPPER(NTS_title)</f>
        <v>RESUMEN NO TÉCNICO DEL PROYECTO</v>
      </c>
      <c r="D1" s="132"/>
      <c r="E1" s="132"/>
      <c r="F1" s="132"/>
      <c r="G1" s="32" t="s">
        <v>6</v>
      </c>
      <c r="H1" s="29"/>
    </row>
    <row r="2" spans="1:9" ht="16.149999999999999" customHeight="1" x14ac:dyDescent="0.25">
      <c r="A2" s="5" t="s">
        <v>152</v>
      </c>
      <c r="B2" s="7" t="str">
        <f>IF(TRIM(D2)="","",UPPER(D2))</f>
        <v/>
      </c>
      <c r="C2" s="11" t="str">
        <f>country_label</f>
        <v>País</v>
      </c>
      <c r="D2" s="17"/>
      <c r="E2" s="135"/>
      <c r="F2" s="136"/>
      <c r="G2" s="74" t="s">
        <v>550</v>
      </c>
      <c r="H2" s="29"/>
      <c r="I2" s="30" t="str">
        <f>compulsory_field_tinstr&amp;" "</f>
        <v xml:space="preserve">Obligatorio </v>
      </c>
    </row>
    <row r="3" spans="1:9" ht="16.149999999999999" customHeight="1" x14ac:dyDescent="0.25">
      <c r="A3" s="5" t="s">
        <v>153</v>
      </c>
      <c r="B3" s="7" t="str">
        <f>IF(TRIM(D3)="","",LOWER(D3))</f>
        <v>es</v>
      </c>
      <c r="C3" s="11" t="str">
        <f>language_label</f>
        <v>Lengua</v>
      </c>
      <c r="D3" s="18" t="s">
        <v>19</v>
      </c>
      <c r="E3" s="135"/>
      <c r="F3" s="136"/>
      <c r="G3" s="74" t="s">
        <v>550</v>
      </c>
      <c r="H3" s="29"/>
      <c r="I3" s="30" t="str">
        <f>compulsory_field_tinstr&amp;" "</f>
        <v xml:space="preserve">Obligatorio </v>
      </c>
    </row>
    <row r="4" spans="1:9" s="69" customFormat="1" ht="15" customHeight="1" x14ac:dyDescent="0.25">
      <c r="A4" s="5" t="s">
        <v>509</v>
      </c>
      <c r="B4" s="4" t="str">
        <f>IF(TRIM(D4)="","",VALUE(MID(D4,SEARCH("[", D4)+1,SEARCH("]",D4)-SEARCH("[",D4)-1)))</f>
        <v/>
      </c>
      <c r="C4" s="68" t="str">
        <f>euSubmission_label</f>
        <v>Presentación UE</v>
      </c>
      <c r="D4" s="67"/>
      <c r="E4" s="137"/>
      <c r="F4" s="138"/>
      <c r="G4" s="74" t="s">
        <v>550</v>
      </c>
      <c r="H4" s="29"/>
      <c r="I4" s="30" t="str">
        <f>compulsory_field_tinstr&amp;" "&amp;" "&amp;not_published_instr&amp;" "&amp;euSubmission_instr</f>
        <v>Obligatorio  El campo no se publicará. Indíquese si el proyecto entra o no en el ámbito de aplicación de la Directiva.</v>
      </c>
    </row>
    <row r="5" spans="1:9" x14ac:dyDescent="0.25">
      <c r="A5" s="5" t="s">
        <v>154</v>
      </c>
      <c r="B5" s="7" t="str">
        <f>IF(TRIM(D5)="","",D5)</f>
        <v/>
      </c>
      <c r="C5" s="11" t="str">
        <f>projectTitle_label</f>
        <v>Título del proyecto</v>
      </c>
      <c r="D5" s="124"/>
      <c r="E5" s="124"/>
      <c r="F5" s="124"/>
      <c r="G5" s="74" t="s">
        <v>550</v>
      </c>
      <c r="I5" s="30" t="str">
        <f>compulsory_field_tinstr&amp;" "&amp;maxLength_500_tinstr</f>
        <v>Obligatorio La longitud máxima es de 500 caracteres.</v>
      </c>
    </row>
    <row r="6" spans="1:9" s="69" customFormat="1" x14ac:dyDescent="0.25">
      <c r="A6" s="5" t="s">
        <v>538</v>
      </c>
      <c r="B6" s="7" t="str">
        <f>IF(TRIM(D6)="","",D6)</f>
        <v/>
      </c>
      <c r="C6" s="68" t="str">
        <f>ntsId_label</f>
        <v>Identificador RNT</v>
      </c>
      <c r="D6" s="139"/>
      <c r="E6" s="140"/>
      <c r="F6" s="65"/>
      <c r="G6" s="66"/>
      <c r="H6" s="35"/>
      <c r="I6" s="30" t="str">
        <f>ntsId_instr&amp;" "&amp;ntsId_tinstr</f>
        <v>Identificador RNT único asignado por el sistema central de la CE. Solo se cumplimentará cuando se actualicen los RNT ya almacenados en el sistema de la CE.</v>
      </c>
    </row>
    <row r="7" spans="1:9" ht="31.9" customHeight="1" x14ac:dyDescent="0.25">
      <c r="A7" s="5" t="s">
        <v>511</v>
      </c>
      <c r="B7" s="15" t="str">
        <f>IF(TRIM(D7)="","",D7)</f>
        <v/>
      </c>
      <c r="C7" s="107" t="str">
        <f>ntsNationalId_label</f>
        <v>Identificador nacional del RNT</v>
      </c>
      <c r="D7" s="119"/>
      <c r="E7" s="119"/>
      <c r="F7" s="119"/>
      <c r="H7" s="35"/>
      <c r="I7" s="30" t="str">
        <f>not_published_instr&amp;" "&amp;ntsNationalId_instr&amp;" "&amp;maxLength_500_tinstr</f>
        <v>El campo no se publicará. Identificador nacional del RNT. La longitud máxima es de 500 caracteres.</v>
      </c>
    </row>
    <row r="8" spans="1:9" ht="15" customHeight="1" x14ac:dyDescent="0.25">
      <c r="A8" s="5" t="s">
        <v>155</v>
      </c>
      <c r="B8" s="4" t="str">
        <f>IF(TRIM(D8)="","",D8)</f>
        <v/>
      </c>
      <c r="C8" s="11" t="str">
        <f>projectDuration_label</f>
        <v>Duración del proyecto</v>
      </c>
      <c r="D8" s="18"/>
      <c r="E8" s="133" t="str">
        <f>duration_unit_label</f>
        <v>(en meses)</v>
      </c>
      <c r="F8" s="134"/>
      <c r="G8" s="74" t="s">
        <v>550</v>
      </c>
      <c r="H8" s="35"/>
      <c r="I8" s="30" t="str">
        <f>compulsory_field_tinstr&amp;" "&amp;projectDuration_instr&amp;" "&amp;projectDuration_tinstr</f>
        <v>Obligatorio Duración del proyecto expresada en meses. Debe ser un número entero entre 1 y 60.</v>
      </c>
    </row>
    <row r="9" spans="1:9" x14ac:dyDescent="0.25">
      <c r="A9" s="5" t="s">
        <v>514</v>
      </c>
      <c r="B9" s="4" t="s">
        <v>156</v>
      </c>
      <c r="C9" s="114" t="str">
        <f>keywords_label</f>
        <v>Palabras clave</v>
      </c>
      <c r="D9" s="114"/>
      <c r="E9" s="114"/>
      <c r="F9" s="115"/>
      <c r="G9" s="74" t="s">
        <v>550</v>
      </c>
      <c r="I9" s="30" t="str">
        <f>compulsory_field_tinstr&amp;" "&amp;at_least_one_keyword_mssg</f>
        <v>Obligatorio Debe introducirse al menos una palabra clave.</v>
      </c>
    </row>
    <row r="10" spans="1:9" x14ac:dyDescent="0.25">
      <c r="A10" s="5"/>
      <c r="B10" s="7" t="str">
        <f t="shared" ref="B10:B14" si="0">IF(TRIM(D10)="","",D10)</f>
        <v/>
      </c>
      <c r="C10" s="20" t="str">
        <f>keyword_label &amp; " " &amp; 1</f>
        <v>Palabra clave (Keyword) 1</v>
      </c>
      <c r="D10" s="124"/>
      <c r="E10" s="124"/>
      <c r="F10" s="124"/>
      <c r="I10" s="30" t="str">
        <f>maxLength_50_tinstr&amp;" "&amp;keyword_tinstr</f>
        <v>La longitud máxima es de 50 caracteres, incluidos espacios. Puede constar de más de una palabra.</v>
      </c>
    </row>
    <row r="11" spans="1:9" x14ac:dyDescent="0.25">
      <c r="A11" s="5"/>
      <c r="B11" s="7" t="str">
        <f t="shared" si="0"/>
        <v/>
      </c>
      <c r="C11" s="20" t="str">
        <f>keyword_label &amp; " " &amp; 2</f>
        <v>Palabra clave (Keyword) 2</v>
      </c>
      <c r="D11" s="119"/>
      <c r="E11" s="119"/>
      <c r="F11" s="119"/>
      <c r="I11" s="30" t="str">
        <f>maxLength_50_tinstr&amp;" "&amp;keyword_tinstr</f>
        <v>La longitud máxima es de 50 caracteres, incluidos espacios. Puede constar de más de una palabra.</v>
      </c>
    </row>
    <row r="12" spans="1:9" x14ac:dyDescent="0.25">
      <c r="A12" s="5"/>
      <c r="B12" s="7" t="str">
        <f t="shared" si="0"/>
        <v/>
      </c>
      <c r="C12" s="20" t="str">
        <f>keyword_label &amp; " " &amp; 3</f>
        <v>Palabra clave (Keyword) 3</v>
      </c>
      <c r="D12" s="119"/>
      <c r="E12" s="119"/>
      <c r="F12" s="119"/>
      <c r="I12" s="30" t="str">
        <f>maxLength_50_tinstr&amp;" "&amp;keyword_tinstr</f>
        <v>La longitud máxima es de 50 caracteres, incluidos espacios. Puede constar de más de una palabra.</v>
      </c>
    </row>
    <row r="13" spans="1:9" x14ac:dyDescent="0.25">
      <c r="A13" s="5"/>
      <c r="B13" s="7" t="str">
        <f t="shared" si="0"/>
        <v/>
      </c>
      <c r="C13" s="20" t="str">
        <f>keyword_label &amp; " " &amp; 4</f>
        <v>Palabra clave (Keyword) 4</v>
      </c>
      <c r="D13" s="125"/>
      <c r="E13" s="125"/>
      <c r="F13" s="125"/>
      <c r="I13" s="30" t="str">
        <f>maxLength_50_tinstr&amp;" "&amp;keyword_tinstr</f>
        <v>La longitud máxima es de 50 caracteres, incluidos espacios. Puede constar de más de una palabra.</v>
      </c>
    </row>
    <row r="14" spans="1:9" x14ac:dyDescent="0.25">
      <c r="A14" s="5"/>
      <c r="B14" s="7" t="str">
        <f t="shared" si="0"/>
        <v/>
      </c>
      <c r="C14" s="20" t="str">
        <f>keyword_label &amp; " " &amp; 5</f>
        <v>Palabra clave (Keyword) 5</v>
      </c>
      <c r="D14" s="119"/>
      <c r="E14" s="119"/>
      <c r="F14" s="119"/>
      <c r="G14" s="24"/>
      <c r="I14" s="30" t="str">
        <f>maxLength_50_tinstr&amp;" "&amp;keyword_tinstr</f>
        <v>La longitud máxima es de 50 caracteres, incluidos espacios. Puede constar de más de una palabra.</v>
      </c>
    </row>
    <row r="15" spans="1:9" x14ac:dyDescent="0.25">
      <c r="A15" s="5" t="s">
        <v>515</v>
      </c>
      <c r="C15" s="111" t="str">
        <f>projectPurposes_label</f>
        <v>Finalidad del (de los) proyecto(s)</v>
      </c>
      <c r="D15" s="111"/>
      <c r="E15" s="111"/>
      <c r="F15" s="111"/>
      <c r="G15" s="74" t="s">
        <v>550</v>
      </c>
      <c r="I15" s="30" t="str">
        <f>compulsory_field_tinstr&amp;" "&amp;projectPurposes_tinstr&amp;" "&amp;at_least_one_purpose_mssg</f>
        <v>Obligatorio Rellene la hoja «Finalidad del proyecto». Debe elegirse al menos una finalidad.</v>
      </c>
    </row>
    <row r="16" spans="1:9" x14ac:dyDescent="0.25">
      <c r="A16" s="5"/>
      <c r="C16" s="114" t="str">
        <f>objectives_and_benefits_label</f>
        <v>Objetivos y beneficios previstos del proyecto</v>
      </c>
      <c r="D16" s="114"/>
      <c r="E16" s="114"/>
      <c r="F16" s="114"/>
      <c r="G16" s="114"/>
    </row>
    <row r="17" spans="1:9" x14ac:dyDescent="0.25">
      <c r="A17" s="5"/>
      <c r="C17" s="121" t="str">
        <f>projectObjectives_label</f>
        <v>Objetivos del proyecto</v>
      </c>
      <c r="D17" s="121"/>
      <c r="E17" s="121"/>
      <c r="F17" s="121"/>
      <c r="G17" s="74" t="s">
        <v>550</v>
      </c>
    </row>
    <row r="18" spans="1:9" ht="127.5" customHeight="1" x14ac:dyDescent="0.25">
      <c r="A18" s="5" t="s">
        <v>157</v>
      </c>
      <c r="B18" s="15" t="str">
        <f>IF(TRIM(C18)="","",C18)</f>
        <v/>
      </c>
      <c r="C18" s="118"/>
      <c r="D18" s="119"/>
      <c r="E18" s="119"/>
      <c r="F18" s="119"/>
      <c r="H18" s="35" t="str">
        <f>projectObjectives_instr</f>
        <v>Describa los objetivos del proyecto (por ejemplo, despejar algunas incógnitas científicas o atender necesidades científicas o clínicas).</v>
      </c>
      <c r="I18" s="30" t="str">
        <f>compulsory_field_tinstr&amp;" "&amp;maxLength_2500_tinstr</f>
        <v>Obligatorio La longitud máxima es de 2 500 caracteres.</v>
      </c>
    </row>
    <row r="19" spans="1:9" x14ac:dyDescent="0.25">
      <c r="A19" s="5"/>
      <c r="B19" s="7"/>
      <c r="C19" s="121" t="str">
        <f>potentialBenefits_label</f>
        <v>Probables beneficios potenciales de este proyecto</v>
      </c>
      <c r="D19" s="121"/>
      <c r="E19" s="121"/>
      <c r="F19" s="121"/>
      <c r="G19" s="74" t="s">
        <v>550</v>
      </c>
    </row>
    <row r="20" spans="1:9" ht="127.5" customHeight="1" x14ac:dyDescent="0.25">
      <c r="A20" s="5" t="s">
        <v>158</v>
      </c>
      <c r="B20" s="15" t="str">
        <f>IF(TRIM(C20)="","",C20)</f>
        <v/>
      </c>
      <c r="C20" s="118"/>
      <c r="D20" s="119"/>
      <c r="E20" s="119"/>
      <c r="F20" s="119"/>
      <c r="H20" s="35" t="str">
        <f>potentialBenefits_instr</f>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I20" s="30" t="str">
        <f>compulsory_field_tinstr&amp;" "&amp;maxLength_2500_tinstr</f>
        <v>Obligatorio La longitud máxima es de 2 500 caracteres.</v>
      </c>
    </row>
    <row r="21" spans="1:9" x14ac:dyDescent="0.25">
      <c r="A21" s="5"/>
      <c r="B21" s="7"/>
      <c r="C21" s="141" t="str" cm="1">
        <f t="array" ref="C21">predicted_harms_label</f>
        <v>Daños previstos</v>
      </c>
      <c r="D21" s="141"/>
      <c r="E21" s="141"/>
      <c r="F21" s="141"/>
      <c r="G21" s="141"/>
    </row>
    <row r="22" spans="1:9" x14ac:dyDescent="0.25">
      <c r="A22" s="5"/>
      <c r="B22" s="7"/>
      <c r="C22" s="122" t="str">
        <f>procedures_label</f>
        <v>¿En qué procedimientos se utilizarán normalmente los animales?</v>
      </c>
      <c r="D22" s="122"/>
      <c r="E22" s="122"/>
      <c r="F22" s="122"/>
      <c r="G22" s="74" t="s">
        <v>550</v>
      </c>
    </row>
    <row r="23" spans="1:9" ht="127.5" customHeight="1" x14ac:dyDescent="0.25">
      <c r="A23" s="5" t="s">
        <v>159</v>
      </c>
      <c r="B23" s="15" t="str">
        <f>IF(TRIM(C23)="","",C23)</f>
        <v/>
      </c>
      <c r="C23" s="118"/>
      <c r="D23" s="119"/>
      <c r="E23" s="119"/>
      <c r="F23" s="119"/>
      <c r="H23" s="35" t="str">
        <f>procedures_instr</f>
        <v>¿En qué procedimientos se utilizarán normalmente los animales (por ejemplo, inyecciones, procedimientos quirúrgicos)? Indique el número de procedimientos y su duración.</v>
      </c>
      <c r="I23" s="30" t="str">
        <f>compulsory_field_tinstr&amp;" "&amp;maxLength_2500_tinstr</f>
        <v>Obligatorio La longitud máxima es de 2 500 caracteres.</v>
      </c>
    </row>
    <row r="24" spans="1:9" x14ac:dyDescent="0.25">
      <c r="A24" s="5"/>
      <c r="B24" s="7"/>
      <c r="C24" s="117" t="str" cm="1">
        <f t="array" ref="C24">expectedImpacts_label</f>
        <v>Efectos previstos/efectos adversos en los animales</v>
      </c>
      <c r="D24" s="117"/>
      <c r="E24" s="117"/>
      <c r="F24" s="117"/>
      <c r="G24" s="74" t="s">
        <v>550</v>
      </c>
    </row>
    <row r="25" spans="1:9" ht="127.5" customHeight="1" x14ac:dyDescent="0.25">
      <c r="A25" s="5" t="s">
        <v>160</v>
      </c>
      <c r="B25" s="15" t="str">
        <f>IF(TRIM(C25)="","",C25)</f>
        <v/>
      </c>
      <c r="C25" s="118"/>
      <c r="D25" s="119"/>
      <c r="E25" s="119"/>
      <c r="F25" s="119"/>
      <c r="H25" s="35" t="str">
        <f>expectedImpacts_instr</f>
        <v>¿Cuáles son las repercusiones o los efectos adversos previstos en los animales, por ejemplo, dolor, pérdida de peso, inactividad o movilidad reducida, estrés o anomalías del comportamiento, y cuál será la duración de esos efectos?</v>
      </c>
      <c r="I25" s="30" t="str">
        <f>compulsory_field_tinstr&amp;" "&amp;maxLength_2500_tinstr</f>
        <v>Obligatorio La longitud máxima es de 2 500 caracteres.</v>
      </c>
    </row>
    <row r="26" spans="1:9" ht="65.650000000000006" customHeight="1" x14ac:dyDescent="0.25">
      <c r="A26" s="5" t="s">
        <v>516</v>
      </c>
      <c r="C26" s="112" t="str">
        <f>expectedHarms_label</f>
        <v>Daños previstos</v>
      </c>
      <c r="D26" s="112"/>
      <c r="E26" s="112"/>
      <c r="F26" s="113"/>
      <c r="G26" s="74" t="s">
        <v>550</v>
      </c>
      <c r="H26" s="35" t="str">
        <f>expectedHarms_instr</f>
        <v>¿Qué especies y qué número de animales está previsto utilizar? ¿Cuáles son los niveles de severidad esperados y el número de animales en cada categoría de severidad (por especies)?</v>
      </c>
      <c r="I26" s="30" t="str">
        <f>compulsory_field_tinstr&amp;" "&amp;expectedHarms_tinstr</f>
        <v>Obligatorio Rellene la hoja «Daños previstos». Debe cumplimentarse al menos una fila.</v>
      </c>
    </row>
    <row r="27" spans="1:9" ht="30" x14ac:dyDescent="0.25">
      <c r="A27" s="5" t="s">
        <v>517</v>
      </c>
      <c r="C27" s="130" t="str">
        <f>fateList_label</f>
        <v>Destino de los animales mantenidos vivos</v>
      </c>
      <c r="D27" s="130"/>
      <c r="E27" s="130"/>
      <c r="F27" s="130"/>
      <c r="G27" s="24"/>
      <c r="H27" s="35" t="str">
        <f>fateList_instr</f>
        <v>¿Qué ocurrirá con los animales que se mantengan vivos al término del procedimiento?</v>
      </c>
      <c r="I27" s="30" t="str">
        <f>fateList_tinstr</f>
        <v xml:space="preserve">Rellene la hoja «Destino de los animales mantenidos vivos», si procede. </v>
      </c>
    </row>
    <row r="28" spans="1:9" x14ac:dyDescent="0.25">
      <c r="C28" s="142" t="str">
        <f>fateReasons_label</f>
        <v>Motivos del destino previsto de los animales después del procedimiento</v>
      </c>
      <c r="D28" s="142"/>
      <c r="E28" s="142"/>
      <c r="F28" s="142"/>
      <c r="G28" s="74" t="s">
        <v>550</v>
      </c>
    </row>
    <row r="29" spans="1:9" ht="127.5" customHeight="1" x14ac:dyDescent="0.25">
      <c r="A29" s="5" t="s">
        <v>161</v>
      </c>
      <c r="B29" s="15" t="str">
        <f>IF(TRIM(C29)="","",C29)</f>
        <v/>
      </c>
      <c r="C29" s="118"/>
      <c r="D29" s="119"/>
      <c r="E29" s="119"/>
      <c r="F29" s="119"/>
      <c r="H29" s="35" t="str">
        <f>fateReasons_instr</f>
        <v>Le rogamos explique los motivos del destino previsto de los animales después del procedimiento.</v>
      </c>
      <c r="I29" s="30" t="str">
        <f>compulsory_field_tinstr&amp;" "&amp;maxLength_2500_tinstr</f>
        <v>Obligatorio La longitud máxima es de 2 500 caracteres.</v>
      </c>
    </row>
    <row r="30" spans="1:9" x14ac:dyDescent="0.25">
      <c r="A30" s="5"/>
      <c r="B30" s="7"/>
      <c r="C30" s="141" t="str">
        <f>application_of_the_three_rs_label</f>
        <v>Aplicación de la regla de las «tres erres»</v>
      </c>
      <c r="D30" s="141"/>
      <c r="E30" s="141"/>
      <c r="F30" s="141"/>
      <c r="G30" s="141"/>
    </row>
    <row r="31" spans="1:9" x14ac:dyDescent="0.25">
      <c r="A31" s="5"/>
      <c r="B31" s="7"/>
      <c r="C31" s="141" t="str">
        <f>replacement_label</f>
        <v>1. Reemplazo</v>
      </c>
      <c r="D31" s="141"/>
      <c r="E31" s="141"/>
      <c r="F31" s="141"/>
      <c r="G31" s="74" t="s">
        <v>550</v>
      </c>
    </row>
    <row r="32" spans="1:9" ht="127.5" customHeight="1" x14ac:dyDescent="0.25">
      <c r="A32" s="5" t="s">
        <v>162</v>
      </c>
      <c r="B32" s="15" t="str">
        <f>IF(TRIM(C32)="","",C32)</f>
        <v/>
      </c>
      <c r="C32" s="118"/>
      <c r="D32" s="119"/>
      <c r="E32" s="119"/>
      <c r="F32" s="119"/>
      <c r="H32" s="35" t="str">
        <f>replacement_instr</f>
        <v>Indique las alternativas disponibles en este campo que no requieren el uso de animales y el motivo por el que no pueden utilizarse para los fines del proyecto.</v>
      </c>
      <c r="I32" s="30" t="str">
        <f>compulsory_field_tinstr&amp;" "&amp;maxLength_2500_tinstr</f>
        <v>Obligatorio La longitud máxima es de 2 500 caracteres.</v>
      </c>
    </row>
    <row r="33" spans="1:9" x14ac:dyDescent="0.25">
      <c r="A33" s="5"/>
      <c r="B33" s="7"/>
      <c r="C33" s="131" t="str">
        <f>reduction_label</f>
        <v>2. Reducción</v>
      </c>
      <c r="D33" s="131"/>
      <c r="E33" s="131"/>
      <c r="F33" s="131"/>
      <c r="G33" s="74" t="s">
        <v>550</v>
      </c>
    </row>
    <row r="34" spans="1:9" ht="150.75" customHeight="1" x14ac:dyDescent="0.25">
      <c r="A34" s="5" t="s">
        <v>163</v>
      </c>
      <c r="B34" s="15" t="str">
        <f>IF(TRIM(C34)="","",C34)</f>
        <v/>
      </c>
      <c r="C34" s="118"/>
      <c r="D34" s="119"/>
      <c r="E34" s="119"/>
      <c r="F34" s="119"/>
      <c r="H34" s="35" t="str">
        <f>reduction_instr</f>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I34" s="30" t="str">
        <f>compulsory_field_tinstr&amp;" "&amp;maxLength_2500_tinstr</f>
        <v>Obligatorio La longitud máxima es de 2 500 caracteres.</v>
      </c>
    </row>
    <row r="35" spans="1:9" x14ac:dyDescent="0.25">
      <c r="A35" s="5"/>
      <c r="B35" s="7"/>
      <c r="C35" s="131" t="str">
        <f>refinement_label</f>
        <v>3. Refinamiento</v>
      </c>
      <c r="D35" s="131"/>
      <c r="E35" s="131"/>
      <c r="F35" s="131"/>
      <c r="G35" s="74" t="s">
        <v>550</v>
      </c>
    </row>
    <row r="36" spans="1:9" ht="127.5" customHeight="1" x14ac:dyDescent="0.25">
      <c r="A36" s="5" t="s">
        <v>164</v>
      </c>
      <c r="B36" s="15" t="str">
        <f>IF(TRIM(C36)="","",C36)</f>
        <v/>
      </c>
      <c r="C36" s="118"/>
      <c r="D36" s="119"/>
      <c r="E36" s="119"/>
      <c r="F36" s="119"/>
      <c r="H36" s="35" t="str">
        <f>refinement_instr</f>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I36" s="30" t="str">
        <f>compulsory_field_tinstr&amp;" "&amp;maxLength_2500_tinstr</f>
        <v>Obligatorio La longitud máxima es de 2 500 caracteres.</v>
      </c>
    </row>
    <row r="37" spans="1:9" x14ac:dyDescent="0.25">
      <c r="A37" s="5"/>
      <c r="B37" s="7"/>
      <c r="C37" s="117" t="str">
        <f>speciesChoiceExplanation_label</f>
        <v>Explique la elección de las especies y las etapas de vida correspondientes</v>
      </c>
      <c r="D37" s="117"/>
      <c r="E37" s="117"/>
      <c r="F37" s="117"/>
      <c r="G37" s="74" t="s">
        <v>550</v>
      </c>
    </row>
    <row r="38" spans="1:9" ht="127.5" customHeight="1" x14ac:dyDescent="0.25">
      <c r="A38" s="5" t="s">
        <v>165</v>
      </c>
      <c r="B38" s="15" t="str">
        <f>IF(TRIM(C38)="","",C38)</f>
        <v/>
      </c>
      <c r="C38" s="118"/>
      <c r="D38" s="119"/>
      <c r="E38" s="119"/>
      <c r="F38" s="119"/>
      <c r="H38" s="35"/>
      <c r="I38" s="30" t="str">
        <f>compulsory_field_tinstr&amp;" "&amp;maxLength_2500_tinstr</f>
        <v>Obligatorio La longitud máxima es de 2 500 caracteres.</v>
      </c>
    </row>
    <row r="39" spans="1:9" ht="30" x14ac:dyDescent="0.25">
      <c r="A39" s="5"/>
      <c r="B39" s="7"/>
      <c r="C39" s="120" t="str">
        <f>project_selected_for_ra_label</f>
        <v>Proyecto seleccionado para la evaluación retrospectiva</v>
      </c>
      <c r="D39" s="120"/>
      <c r="E39" s="120"/>
      <c r="F39" s="120"/>
      <c r="G39" s="22"/>
      <c r="H39" s="35" t="str">
        <f>compulsory_field_for_some_tinstr</f>
        <v>Aplicable a los EM cuya legislación requiera esta información.</v>
      </c>
      <c r="I39" s="30" t="str">
        <f>to_be_filled_in_by_authority_mssg</f>
        <v>Pendiente de cumplimentación por la autoridad competente</v>
      </c>
    </row>
    <row r="40" spans="1:9" x14ac:dyDescent="0.25">
      <c r="A40" s="5" t="s">
        <v>166</v>
      </c>
      <c r="B40" s="4" t="str">
        <f>IF(TRIM(D40)="","",VALUE(MID(D40,SEARCH("[", D40)+1,SEARCH("]",D40)-SEARCH("[",D40)-1)))</f>
        <v/>
      </c>
      <c r="C40" s="16" t="str">
        <f>raSelected_label</f>
        <v>¿Proyecto seleccionado para la ER?</v>
      </c>
      <c r="D40" s="19"/>
      <c r="E40" s="126" t="str">
        <f>IF((CONCATENATE(B41,B43,B44,B45,B47)&lt;&gt;"")*AND(B40&lt;&gt;1),inconsistent_value_mssg,"")</f>
        <v/>
      </c>
      <c r="F40" s="127"/>
      <c r="G40" s="74" t="str">
        <f t="shared" ref="G40" si="1">selection_for_RA</f>
        <v/>
      </c>
      <c r="H40" s="35"/>
      <c r="I40" s="30" t="str">
        <f>IF(G40="*", compulsory_field_tinstr, "")</f>
        <v/>
      </c>
    </row>
    <row r="41" spans="1:9" x14ac:dyDescent="0.25">
      <c r="A41" s="5" t="s">
        <v>167</v>
      </c>
      <c r="B41" s="26" t="str">
        <f>IF(TRIM(D41)="","",D41)</f>
        <v/>
      </c>
      <c r="C41" s="16" t="str">
        <f>raDeadline_label</f>
        <v>Plazo para la ER</v>
      </c>
      <c r="D41" s="41"/>
      <c r="E41" s="116" t="s">
        <v>63</v>
      </c>
      <c r="F41" s="116"/>
      <c r="G41" s="75" t="str">
        <f>IF($B$40=1,"*","")</f>
        <v/>
      </c>
      <c r="H41" s="35"/>
      <c r="I41" s="30" t="str">
        <f>IF($B$40=1,compulsory_field_tinstr&amp;" "&amp;date_format_tinstr,"")</f>
        <v/>
      </c>
    </row>
    <row r="42" spans="1:9" x14ac:dyDescent="0.25">
      <c r="A42" s="5"/>
      <c r="B42" s="26"/>
      <c r="C42" s="143" t="str">
        <f>ra_reasons_label</f>
        <v>Motivos de la evaluación retrospectiva</v>
      </c>
      <c r="D42" s="143"/>
      <c r="E42" s="129"/>
      <c r="F42" s="129"/>
      <c r="G42" s="75" t="str">
        <f>IF($B$40=1,"*","")</f>
        <v/>
      </c>
      <c r="H42" s="35"/>
      <c r="I42" s="30" t="str">
        <f>IF($B$40=1,compulsory_field_tinstr&amp;" "&amp; at_least_one_reason_mssg,"")</f>
        <v/>
      </c>
    </row>
    <row r="43" spans="1:9" x14ac:dyDescent="0.25">
      <c r="A43" s="5" t="s">
        <v>168</v>
      </c>
      <c r="B43" s="6" t="str">
        <f t="shared" ref="B43:B45" si="2">IF(TRIM(F43)="","",VALUE(MID(F43,SEARCH("[", F43)+1,SEARCH("]",F43)-SEARCH("[",F43)-1)))</f>
        <v/>
      </c>
      <c r="C43" s="25"/>
      <c r="D43" s="144" t="str">
        <f>severeProcedure_label</f>
        <v>Incluye procedimientos severos</v>
      </c>
      <c r="E43" s="144"/>
      <c r="F43" s="19"/>
      <c r="G43" s="22"/>
    </row>
    <row r="44" spans="1:9" ht="14.25" customHeight="1" x14ac:dyDescent="0.25">
      <c r="A44" s="5" t="s">
        <v>169</v>
      </c>
      <c r="B44" s="6" t="str">
        <f t="shared" si="2"/>
        <v/>
      </c>
      <c r="C44" s="21"/>
      <c r="D44" s="128" t="str">
        <f>nhpUse_label</f>
        <v>Utiliza primates no humanos</v>
      </c>
      <c r="E44" s="128"/>
      <c r="F44" s="19" t="s">
        <v>6</v>
      </c>
      <c r="G44" s="22"/>
    </row>
    <row r="45" spans="1:9" x14ac:dyDescent="0.25">
      <c r="A45" s="5" t="s">
        <v>170</v>
      </c>
      <c r="B45" s="6" t="str">
        <f t="shared" si="2"/>
        <v/>
      </c>
      <c r="C45" s="28" t="str">
        <f>IF((B47&lt;&gt;"")*AND(B45&lt;&gt;1),inconsistent_value_mssg,"")</f>
        <v/>
      </c>
      <c r="D45" s="128" t="str">
        <f>other_label</f>
        <v>Otros motivos</v>
      </c>
      <c r="E45" s="128"/>
      <c r="F45" s="19"/>
      <c r="G45" s="22"/>
    </row>
    <row r="46" spans="1:9" s="23" customFormat="1" x14ac:dyDescent="0.25">
      <c r="A46" s="5"/>
      <c r="B46" s="6"/>
      <c r="C46" s="122" t="str">
        <f>otherExplanation_label</f>
        <v>Explicación del otro motivo de la evaluación retrospectiva</v>
      </c>
      <c r="D46" s="122"/>
      <c r="E46" s="122"/>
      <c r="F46" s="122"/>
      <c r="G46" s="22"/>
      <c r="H46" s="35"/>
      <c r="I46" s="30"/>
    </row>
    <row r="47" spans="1:9" ht="57.4" customHeight="1" x14ac:dyDescent="0.25">
      <c r="A47" s="5" t="s">
        <v>171</v>
      </c>
      <c r="B47" s="15" t="str">
        <f>IF(TRIM(C47)="","",C47)</f>
        <v/>
      </c>
      <c r="C47" s="124"/>
      <c r="D47" s="124"/>
      <c r="E47" s="124"/>
      <c r="F47" s="124"/>
      <c r="G47" s="75" t="str">
        <f>IF($B$45=1,"*","")</f>
        <v/>
      </c>
      <c r="I47" s="35" t="str">
        <f>IF(B45=1, compulsory_field_tinstr&amp;" "&amp;maxLength_500_tinstr, "")</f>
        <v/>
      </c>
    </row>
    <row r="48" spans="1:9" x14ac:dyDescent="0.25">
      <c r="C48" s="131" t="str">
        <f>additional_fields_title</f>
        <v>Campos adicionales</v>
      </c>
      <c r="D48" s="131"/>
      <c r="E48" s="131"/>
      <c r="F48" s="131"/>
      <c r="I48" s="30" t="str">
        <f>additional_fields_tinstr</f>
        <v>El hecho de que el ámbito de que se trate sea aplicable o no depende de las normas nacionales.</v>
      </c>
    </row>
    <row r="49" spans="1:9" s="42" customFormat="1" ht="31.9" customHeight="1" x14ac:dyDescent="0.25">
      <c r="A49" s="5" t="s">
        <v>518</v>
      </c>
      <c r="B49" s="15" t="str">
        <f>IF(TRIM(D49)="","",D49)</f>
        <v/>
      </c>
      <c r="C49" s="43" t="str">
        <f>field1_label</f>
        <v>Campo nacional 1</v>
      </c>
      <c r="D49" s="119"/>
      <c r="E49" s="119"/>
      <c r="F49" s="119"/>
      <c r="G49" s="10"/>
      <c r="H49" s="35"/>
      <c r="I49" s="30" t="str">
        <f>not_published_instr&amp;" "&amp;maxLength_2500_tinstr</f>
        <v>El campo no se publicará. La longitud máxima es de 2 500 caracteres.</v>
      </c>
    </row>
    <row r="50" spans="1:9" s="42" customFormat="1" ht="31.5" customHeight="1" x14ac:dyDescent="0.25">
      <c r="A50" s="5" t="s">
        <v>519</v>
      </c>
      <c r="B50" s="15" t="str">
        <f t="shared" ref="B50:B51" si="3">IF(TRIM(D50)="","",D50)</f>
        <v/>
      </c>
      <c r="C50" s="43" t="str">
        <f>field2_label</f>
        <v>Campo nacional 2</v>
      </c>
      <c r="D50" s="119"/>
      <c r="E50" s="119"/>
      <c r="F50" s="119"/>
      <c r="G50" s="10"/>
      <c r="H50" s="35"/>
      <c r="I50" s="30" t="str">
        <f>not_published_instr&amp;" "&amp;maxLength_2500_tinstr</f>
        <v>El campo no se publicará. La longitud máxima es de 2 500 caracteres.</v>
      </c>
    </row>
    <row r="51" spans="1:9" s="42" customFormat="1" ht="30.4" customHeight="1" x14ac:dyDescent="0.25">
      <c r="A51" s="5" t="s">
        <v>520</v>
      </c>
      <c r="B51" s="15" t="str">
        <f t="shared" si="3"/>
        <v/>
      </c>
      <c r="C51" s="43" t="str">
        <f>field3_label</f>
        <v>Campo nacional 3</v>
      </c>
      <c r="D51" s="119"/>
      <c r="E51" s="119"/>
      <c r="F51" s="119"/>
      <c r="G51" s="10"/>
      <c r="H51" s="35"/>
      <c r="I51" s="30" t="str">
        <f>not_published_instr&amp;" "&amp;maxLength_2500_tinstr</f>
        <v>El campo no se publicará. La longitud máxima es de 2 500 caracteres.</v>
      </c>
    </row>
    <row r="52" spans="1:9" s="50" customFormat="1" ht="30.4" customHeight="1" x14ac:dyDescent="0.25">
      <c r="A52" s="5" t="s">
        <v>521</v>
      </c>
      <c r="B52" s="15" t="str">
        <f t="shared" ref="B52:B53" si="4">IF(TRIM(D52)="","",D52)</f>
        <v/>
      </c>
      <c r="C52" s="51" t="str">
        <f>field4_label</f>
        <v>Campo nacional 4</v>
      </c>
      <c r="D52" s="119"/>
      <c r="E52" s="119"/>
      <c r="F52" s="119"/>
      <c r="G52" s="10"/>
      <c r="H52" s="35"/>
      <c r="I52" s="30" t="str">
        <f>not_published_instr&amp;" "&amp;maxLength_2500_tinstr</f>
        <v>El campo no se publicará. La longitud máxima es de 2 500 caracteres.</v>
      </c>
    </row>
    <row r="53" spans="1:9" s="50" customFormat="1" ht="30.4" customHeight="1" x14ac:dyDescent="0.25">
      <c r="A53" s="5" t="s">
        <v>522</v>
      </c>
      <c r="B53" s="15" t="str">
        <f t="shared" si="4"/>
        <v/>
      </c>
      <c r="C53" s="51" t="str">
        <f>field5_label</f>
        <v>Campo nacional 5</v>
      </c>
      <c r="D53" s="119"/>
      <c r="E53" s="119"/>
      <c r="F53" s="119"/>
      <c r="G53" s="10"/>
      <c r="H53" s="35"/>
      <c r="I53" s="30" t="str">
        <f>not_published_instr&amp;" "&amp;maxLength_2500_tinstr</f>
        <v>El campo no se publicará. La longitud máxima es de 2 500 caracteres.</v>
      </c>
    </row>
    <row r="54" spans="1:9" s="42" customFormat="1" x14ac:dyDescent="0.25">
      <c r="A54" s="5" t="s">
        <v>523</v>
      </c>
      <c r="B54" s="26" t="str">
        <f>IF(TRIM(D54)="","",D54)</f>
        <v/>
      </c>
      <c r="C54" s="43" t="str">
        <f>projectStartDate_label</f>
        <v>Fecha de inicio del proyecto</v>
      </c>
      <c r="D54" s="41"/>
      <c r="E54" s="116" t="s">
        <v>63</v>
      </c>
      <c r="F54" s="116"/>
      <c r="G54" s="22" t="str">
        <f>project_start_end_date</f>
        <v/>
      </c>
      <c r="H54" s="35"/>
      <c r="I54" s="30" t="str">
        <f>not_published_instr&amp;" "&amp;date_format_tinstr</f>
        <v>El campo no se publicará. Formato dd-mm-aaaa o dd/mm/aaaa en función de la configuración de su sistema (por ejemplo, 27-05-2022 o 27/05/2022)</v>
      </c>
    </row>
    <row r="55" spans="1:9" s="42" customFormat="1" x14ac:dyDescent="0.25">
      <c r="A55" s="5" t="s">
        <v>524</v>
      </c>
      <c r="B55" s="26" t="str">
        <f>IF(TRIM(D55)="","",D55)</f>
        <v/>
      </c>
      <c r="C55" s="43" t="str">
        <f>projectEndDate_label</f>
        <v>Fecha de finalización del proyecto</v>
      </c>
      <c r="D55" s="41"/>
      <c r="E55" s="116" t="s">
        <v>63</v>
      </c>
      <c r="F55" s="116"/>
      <c r="G55" s="22" t="str">
        <f>project_start_end_date</f>
        <v/>
      </c>
      <c r="H55" s="35"/>
      <c r="I55" s="30" t="str">
        <f>not_published_instr&amp;" "&amp;date_format_tinstr</f>
        <v>El campo no se publicará. Formato dd-mm-aaaa o dd/mm/aaaa en función de la configuración de su sistema (por ejemplo, 27-05-2022 o 27/05/2022)</v>
      </c>
    </row>
    <row r="56" spans="1:9" s="42" customFormat="1" x14ac:dyDescent="0.25">
      <c r="A56" s="5" t="s">
        <v>525</v>
      </c>
      <c r="B56" s="26" t="str">
        <f>IF(TRIM(D56)="","",D56)</f>
        <v/>
      </c>
      <c r="C56" s="43" t="str">
        <f>projectApprovalDate_label</f>
        <v>Fecha de aprobación del proyecto</v>
      </c>
      <c r="D56" s="41"/>
      <c r="E56" s="116" t="s">
        <v>63</v>
      </c>
      <c r="F56" s="116"/>
      <c r="G56" s="22" t="str">
        <f>project_approval_date</f>
        <v/>
      </c>
      <c r="H56" s="35"/>
      <c r="I56" s="30" t="str">
        <f>not_published_instr&amp;" "&amp;to_be_filled_in_by_authority_mssg&amp;" "&amp;date_format_tinstr</f>
        <v>El campo no se publicará. Pendiente de cumplimentación por la autoridad competente Formato dd-mm-aaaa o dd/mm/aaaa en función de la configuración de su sistema (por ejemplo, 27-05-2022 o 27/05/2022)</v>
      </c>
    </row>
    <row r="57" spans="1:9" s="42" customFormat="1" x14ac:dyDescent="0.25">
      <c r="A57" s="5" t="s">
        <v>526</v>
      </c>
      <c r="B57" s="7" t="str">
        <f>IF(TRIM(D57)="","",D57)</f>
        <v/>
      </c>
      <c r="C57" s="43" t="str">
        <f>ICD_code_label &amp; " 1"</f>
        <v>Código ICD 1</v>
      </c>
      <c r="D57" s="73"/>
      <c r="E57" s="116" t="s">
        <v>63</v>
      </c>
      <c r="F57" s="116"/>
      <c r="G57" s="22"/>
      <c r="H57" s="35"/>
      <c r="I57" s="30" t="str">
        <f>not_published_instr&amp;" "&amp;ICD_code_instr&amp;" "&amp;ICD_code_tinstr</f>
        <v>El campo no se publicará. Código de la Clasificación Internacional de Enfermedades (CIE). Hasta una precisión de un código de 4 caracteres.</v>
      </c>
    </row>
    <row r="58" spans="1:9" x14ac:dyDescent="0.25">
      <c r="A58" s="5" t="s">
        <v>527</v>
      </c>
      <c r="B58" s="7" t="str">
        <f t="shared" ref="B58:B60" si="5">IF(TRIM(D58)="","",D58)</f>
        <v/>
      </c>
      <c r="C58" s="70" t="str">
        <f>ICD_code_label &amp; " 2"</f>
        <v>Código ICD 2</v>
      </c>
      <c r="D58" s="73"/>
      <c r="E58" s="116" t="s">
        <v>63</v>
      </c>
      <c r="F58" s="116"/>
      <c r="G58" s="22"/>
      <c r="H58" s="35"/>
      <c r="I58" s="30" t="str">
        <f>not_published_instr&amp;" "&amp;ICD_code_instr&amp;" "&amp;ICD_code_tinstr</f>
        <v>El campo no se publicará. Código de la Clasificación Internacional de Enfermedades (CIE). Hasta una precisión de un código de 4 caracteres.</v>
      </c>
    </row>
    <row r="59" spans="1:9" x14ac:dyDescent="0.25">
      <c r="A59" s="5" t="s">
        <v>528</v>
      </c>
      <c r="B59" s="7" t="str">
        <f t="shared" si="5"/>
        <v/>
      </c>
      <c r="C59" s="70" t="str">
        <f>ICD_code_label &amp; " 3"</f>
        <v>Código ICD 3</v>
      </c>
      <c r="D59" s="73"/>
      <c r="E59" s="116" t="s">
        <v>63</v>
      </c>
      <c r="F59" s="116"/>
      <c r="G59" s="22"/>
      <c r="H59" s="35"/>
      <c r="I59" s="30" t="str">
        <f>not_published_instr&amp;" "&amp;ICD_code_instr&amp;" "&amp;ICD_code_tinstr</f>
        <v>El campo no se publicará. Código de la Clasificación Internacional de Enfermedades (CIE). Hasta una precisión de un código de 4 caracteres.</v>
      </c>
    </row>
    <row r="60" spans="1:9" ht="28.9" customHeight="1" x14ac:dyDescent="0.25">
      <c r="A60" s="5" t="s">
        <v>532</v>
      </c>
      <c r="B60" s="15" t="str">
        <f t="shared" si="5"/>
        <v/>
      </c>
      <c r="C60" s="72" t="str">
        <f>ntsPreviousVersionExternalLink_label</f>
        <v>Enlace a la versión anterior del RNT fuera del sistema CE</v>
      </c>
      <c r="D60" s="123"/>
      <c r="E60" s="123"/>
      <c r="F60" s="123"/>
      <c r="H60" s="35"/>
      <c r="I60" s="30" t="str">
        <f>ntsPreviousVersionExternalLink_instr&amp;" "&amp;maxLength_500_tinstr</f>
        <v>Utilícese en el período transitorio cuando la versión anterior del RNT pueda no existir en el sistema de la CE. La longitud máxima es de 500 caracteres.</v>
      </c>
    </row>
  </sheetData>
  <sheetProtection algorithmName="SHA-512" hashValue="uDRICOBZCuVnYo1zba7I+lEJCMUj7Q3r9qPhw/PKfmXJtluuqwrFNbJg4N634cYqvA7GIesGIR4ciVvmBpplqg==" saltValue="P7ElXQfm8iQ58E/p0Ibm1g==" spinCount="100000" sheet="1" selectLockedCells="1"/>
  <mergeCells count="59">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 ref="C21:G21"/>
    <mergeCell ref="C23:F23"/>
    <mergeCell ref="C28:F28"/>
    <mergeCell ref="C29:F29"/>
    <mergeCell ref="C30:G30"/>
    <mergeCell ref="C1:F1"/>
    <mergeCell ref="E8:F8"/>
    <mergeCell ref="D5:F5"/>
    <mergeCell ref="E2:F4"/>
    <mergeCell ref="D6:E6"/>
    <mergeCell ref="D7:F7"/>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3" sqref="A3"/>
    </sheetView>
  </sheetViews>
  <sheetFormatPr baseColWidth="10" defaultColWidth="9.140625" defaultRowHeight="15" x14ac:dyDescent="0.25"/>
  <cols>
    <col min="1" max="1" width="108.28515625" customWidth="1"/>
  </cols>
  <sheetData>
    <row r="1" spans="1:1" ht="23.25" x14ac:dyDescent="0.25">
      <c r="A1" s="36" t="str">
        <f>projectPurposes_label</f>
        <v>Finalidad del (de los) proyecto(s)</v>
      </c>
    </row>
    <row r="2" spans="1:1" ht="15" hidden="1" customHeight="1" x14ac:dyDescent="0.25">
      <c r="A2" s="33" t="s">
        <v>491</v>
      </c>
    </row>
    <row r="3" spans="1:1" x14ac:dyDescent="0.25">
      <c r="A3" s="8"/>
    </row>
    <row r="4" spans="1:1" x14ac:dyDescent="0.25">
      <c r="A4" s="8"/>
    </row>
    <row r="5" spans="1:1" x14ac:dyDescent="0.25">
      <c r="A5" s="8"/>
    </row>
    <row r="6" spans="1:1" x14ac:dyDescent="0.25">
      <c r="A6" s="8"/>
    </row>
    <row r="7" spans="1:1" x14ac:dyDescent="0.25">
      <c r="A7" s="8"/>
    </row>
    <row r="8" spans="1:1" x14ac:dyDescent="0.25">
      <c r="A8" s="8"/>
    </row>
    <row r="9" spans="1:1" x14ac:dyDescent="0.25">
      <c r="A9" s="8"/>
    </row>
    <row r="10" spans="1:1" x14ac:dyDescent="0.25">
      <c r="A10" s="8"/>
    </row>
    <row r="11" spans="1:1" x14ac:dyDescent="0.25">
      <c r="A11" s="8"/>
    </row>
    <row r="12" spans="1:1" x14ac:dyDescent="0.25">
      <c r="A12" s="8"/>
    </row>
    <row r="13" spans="1:1" x14ac:dyDescent="0.25">
      <c r="A13" s="8"/>
    </row>
    <row r="14" spans="1:1" x14ac:dyDescent="0.25">
      <c r="A14" s="8"/>
    </row>
    <row r="15" spans="1:1" x14ac:dyDescent="0.25">
      <c r="A15" s="8"/>
    </row>
    <row r="16" spans="1:1" x14ac:dyDescent="0.25">
      <c r="A16" s="8"/>
    </row>
    <row r="17" spans="1:1" x14ac:dyDescent="0.25">
      <c r="A17" s="8"/>
    </row>
    <row r="18" spans="1:1" x14ac:dyDescent="0.25">
      <c r="A18" s="8"/>
    </row>
    <row r="19" spans="1:1" x14ac:dyDescent="0.25">
      <c r="A19" s="8"/>
    </row>
    <row r="20" spans="1:1" x14ac:dyDescent="0.25">
      <c r="A20" s="8"/>
    </row>
    <row r="21" spans="1:1" x14ac:dyDescent="0.25">
      <c r="A21" s="8"/>
    </row>
    <row r="22" spans="1:1" x14ac:dyDescent="0.25">
      <c r="A22" s="8"/>
    </row>
    <row r="23" spans="1:1" x14ac:dyDescent="0.25">
      <c r="A23" s="8"/>
    </row>
    <row r="24" spans="1:1" x14ac:dyDescent="0.25">
      <c r="A24" s="8"/>
    </row>
    <row r="25" spans="1:1" x14ac:dyDescent="0.25">
      <c r="A25" s="8"/>
    </row>
    <row r="26" spans="1:1" x14ac:dyDescent="0.25">
      <c r="A26" s="8"/>
    </row>
    <row r="27" spans="1:1" x14ac:dyDescent="0.25">
      <c r="A27" s="8"/>
    </row>
    <row r="28" spans="1:1" x14ac:dyDescent="0.25">
      <c r="A28" s="8"/>
    </row>
    <row r="29" spans="1:1" x14ac:dyDescent="0.25">
      <c r="A29" s="8"/>
    </row>
    <row r="30" spans="1:1" x14ac:dyDescent="0.25">
      <c r="A30" s="8"/>
    </row>
    <row r="31" spans="1:1" x14ac:dyDescent="0.25">
      <c r="A31" s="8"/>
    </row>
    <row r="32" spans="1:1" x14ac:dyDescent="0.25">
      <c r="A32" s="8"/>
    </row>
    <row r="33" spans="1:1" x14ac:dyDescent="0.25">
      <c r="A33" s="8"/>
    </row>
    <row r="34" spans="1:1" x14ac:dyDescent="0.25">
      <c r="A34" s="8"/>
    </row>
    <row r="35" spans="1:1" x14ac:dyDescent="0.25">
      <c r="A35" s="8"/>
    </row>
    <row r="36" spans="1:1" x14ac:dyDescent="0.25">
      <c r="A36" s="8"/>
    </row>
    <row r="37" spans="1:1" x14ac:dyDescent="0.25">
      <c r="A37" s="8"/>
    </row>
    <row r="38" spans="1:1" x14ac:dyDescent="0.25">
      <c r="A38" s="8"/>
    </row>
    <row r="39" spans="1:1" x14ac:dyDescent="0.25">
      <c r="A39" s="8"/>
    </row>
    <row r="40" spans="1:1" x14ac:dyDescent="0.25">
      <c r="A40" s="8"/>
    </row>
    <row r="41" spans="1:1" x14ac:dyDescent="0.25">
      <c r="A41" s="8"/>
    </row>
    <row r="42" spans="1:1" x14ac:dyDescent="0.25">
      <c r="A42" s="8"/>
    </row>
    <row r="43" spans="1:1" x14ac:dyDescent="0.25">
      <c r="A43" s="8"/>
    </row>
    <row r="44" spans="1:1" x14ac:dyDescent="0.25">
      <c r="A44" s="8"/>
    </row>
    <row r="45" spans="1:1" x14ac:dyDescent="0.25">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B5" sqref="B5"/>
    </sheetView>
  </sheetViews>
  <sheetFormatPr baseColWidth="10" defaultColWidth="9" defaultRowHeight="15" x14ac:dyDescent="0.25"/>
  <cols>
    <col min="1" max="1" width="68" style="40" customWidth="1"/>
    <col min="2" max="2" width="16.5703125" style="40" customWidth="1"/>
    <col min="3" max="3" width="15" style="40" customWidth="1"/>
    <col min="4" max="4" width="14.5703125" style="9" customWidth="1"/>
    <col min="5" max="5" width="14.28515625" style="9" customWidth="1"/>
    <col min="6" max="6" width="18.28515625" style="9" hidden="1" customWidth="1"/>
    <col min="7" max="7" width="32.85546875" style="34" customWidth="1"/>
    <col min="8" max="8" width="54.28515625" style="9" customWidth="1"/>
    <col min="9" max="16384" width="9" style="9"/>
  </cols>
  <sheetData>
    <row r="1" spans="1:8" ht="29.25" customHeight="1" thickBot="1" x14ac:dyDescent="0.4">
      <c r="A1" s="36" t="str">
        <f>expectedHarms_label</f>
        <v>Daños previstos</v>
      </c>
      <c r="B1" s="145" t="str">
        <f>numbers_per_severity_label</f>
        <v>Cifras estimadas, por nivel de severidad</v>
      </c>
      <c r="C1" s="145"/>
      <c r="D1" s="145"/>
      <c r="E1" s="145"/>
      <c r="F1" s="71"/>
      <c r="G1" s="37"/>
    </row>
    <row r="2" spans="1:8" ht="75" customHeight="1" thickBot="1" x14ac:dyDescent="0.3">
      <c r="A2" s="108" t="str">
        <f>species_label</f>
        <v>Especie</v>
      </c>
      <c r="B2" s="109" t="str">
        <f>nonRecovery_label</f>
        <v>Sin posibilidad de recuperación</v>
      </c>
      <c r="C2" s="109" t="str">
        <f>mild_label</f>
        <v>Leve</v>
      </c>
      <c r="D2" s="109" t="str">
        <f>moderate_label</f>
        <v>Moderada</v>
      </c>
      <c r="E2" s="109" t="str">
        <f>severe_label</f>
        <v>Intensa</v>
      </c>
      <c r="F2" s="109" t="str">
        <f>custom_severity_label</f>
        <v>Severidad aduanas EM</v>
      </c>
    </row>
    <row r="3" spans="1:8" ht="13.5" hidden="1" customHeight="1" x14ac:dyDescent="0.25">
      <c r="A3" s="33" t="s">
        <v>179</v>
      </c>
      <c r="B3" s="39" t="s">
        <v>180</v>
      </c>
      <c r="C3" s="39" t="s">
        <v>181</v>
      </c>
      <c r="D3" s="39" t="s">
        <v>182</v>
      </c>
      <c r="E3" s="39" t="s">
        <v>183</v>
      </c>
      <c r="F3" s="39" t="s">
        <v>546</v>
      </c>
    </row>
    <row r="4" spans="1:8" x14ac:dyDescent="0.25">
      <c r="A4" s="8"/>
      <c r="B4" s="31"/>
      <c r="C4" s="1"/>
      <c r="D4" s="1"/>
      <c r="E4" s="1"/>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x14ac:dyDescent="0.25">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x14ac:dyDescent="0.25">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25">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25">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25">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25">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25">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25">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25">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25">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25">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25">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25">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25">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25">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25">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25">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25">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25">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25">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25">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25">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25">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25">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25">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25">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25">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25">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25">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25">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25">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25">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25">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25">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25">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25">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25">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25">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25">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A4" sqref="A4"/>
    </sheetView>
  </sheetViews>
  <sheetFormatPr baseColWidth="10" defaultColWidth="9" defaultRowHeight="15" x14ac:dyDescent="0.25"/>
  <cols>
    <col min="1" max="1" width="67.42578125" style="9" customWidth="1"/>
    <col min="2" max="4" width="20.7109375" style="9" customWidth="1"/>
    <col min="5" max="5" width="37.85546875" style="9" customWidth="1"/>
    <col min="6" max="6" width="65.28515625" style="9" customWidth="1"/>
    <col min="7" max="16384" width="9" style="9"/>
  </cols>
  <sheetData>
    <row r="1" spans="1:6" ht="43.5" customHeight="1" x14ac:dyDescent="0.35">
      <c r="A1" s="110" t="str">
        <f>fateList_label</f>
        <v>Destino de los animales mantenidos vivos</v>
      </c>
      <c r="B1" s="146" t="str">
        <f>numbers_per_fate_label</f>
        <v>Número estimado de animales que deben reutilizarse, ser devueltos al hábitat o al sistema de cría o ser realojados</v>
      </c>
      <c r="C1" s="146"/>
      <c r="D1" s="146"/>
      <c r="E1" s="37"/>
    </row>
    <row r="2" spans="1:6" ht="44.25" customHeight="1" thickBot="1" x14ac:dyDescent="0.3">
      <c r="A2" s="38" t="str">
        <f>species_label</f>
        <v>Especie</v>
      </c>
      <c r="B2" s="109" t="str">
        <f>reused_label</f>
        <v>Reutilización</v>
      </c>
      <c r="C2" s="109" t="str">
        <f>returned_label</f>
        <v>Devuelto</v>
      </c>
      <c r="D2" s="109" t="str">
        <f>rehomed_label</f>
        <v>Realojado</v>
      </c>
    </row>
    <row r="3" spans="1:6" ht="15.4" hidden="1" customHeight="1" x14ac:dyDescent="0.25">
      <c r="A3" s="9" t="s">
        <v>179</v>
      </c>
      <c r="B3" s="9" t="s">
        <v>315</v>
      </c>
      <c r="C3" s="9" t="s">
        <v>316</v>
      </c>
      <c r="D3" s="9" t="s">
        <v>317</v>
      </c>
    </row>
    <row r="4" spans="1:6" x14ac:dyDescent="0.25">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x14ac:dyDescent="0.25">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x14ac:dyDescent="0.25">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25">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25">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25">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25">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25">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25">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25">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25">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25">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25">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25">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25">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25">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25">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25">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25">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25">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25">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25">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25">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25">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25">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25">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25">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25">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25">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25">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25">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25">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25">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25">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25">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25">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25">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25">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25">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workbookViewId="0">
      <selection sqref="A1:XFD1048576"/>
    </sheetView>
  </sheetViews>
  <sheetFormatPr baseColWidth="10" defaultColWidth="9" defaultRowHeight="15" x14ac:dyDescent="0.25"/>
  <cols>
    <col min="1" max="1" width="26.28515625" style="9" customWidth="1"/>
    <col min="2" max="2" width="26.7109375" style="9" customWidth="1"/>
    <col min="3" max="3" width="98.42578125" style="9" customWidth="1"/>
    <col min="4" max="4" width="9.28515625" style="9" customWidth="1"/>
    <col min="5" max="5" width="8.7109375" style="9" customWidth="1"/>
    <col min="6" max="6" width="8.5703125" style="9" customWidth="1"/>
    <col min="7" max="7" width="8.42578125" style="9" customWidth="1"/>
    <col min="8" max="10" width="9" style="9"/>
    <col min="11" max="11" width="15" style="9" customWidth="1"/>
    <col min="12" max="16384" width="9" style="9"/>
  </cols>
  <sheetData>
    <row r="1" spans="1:28" ht="15.75" thickBot="1" x14ac:dyDescent="0.3"/>
    <row r="2" spans="1:28" s="53" customFormat="1" ht="15.75" thickBot="1" x14ac:dyDescent="0.3">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5.75" thickBot="1" x14ac:dyDescent="0.3">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25">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25">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Investigación básica</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25">
      <c r="A6" s="48" t="s">
        <v>57</v>
      </c>
      <c r="B6" s="9" t="str">
        <f t="shared" si="1"/>
        <v>Investigación traslacional y aplicada</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25">
      <c r="A7" s="48" t="s">
        <v>476</v>
      </c>
      <c r="B7" s="9" t="str">
        <f t="shared" si="1"/>
        <v>Utilización reglamentaria y producción rutinaria</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25">
      <c r="A8" s="48" t="s">
        <v>485</v>
      </c>
      <c r="B8" s="9" t="str">
        <f t="shared" si="1"/>
        <v>Protección del medio ambiente natural en interés de la salud o del bienestar de los seres humanos o de los animales</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25">
      <c r="A9" s="48" t="s">
        <v>486</v>
      </c>
      <c r="B9" s="9" t="str">
        <f t="shared" si="1"/>
        <v>Preservación de especies</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25">
      <c r="A10" s="49" t="s">
        <v>487</v>
      </c>
      <c r="B10" s="9" t="str">
        <f t="shared" si="1"/>
        <v>Enseñanza superior</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25">
      <c r="A11" s="49" t="s">
        <v>488</v>
      </c>
      <c r="B11" s="9" t="str">
        <f t="shared" si="1"/>
        <v>Formación para la adquisición, mantenimiento o mejora de aptitudes profesionales</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25">
      <c r="A12" s="48" t="s">
        <v>489</v>
      </c>
      <c r="B12" s="9" t="str">
        <f t="shared" si="1"/>
        <v>Investigaciones medicolegales</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25">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Mantenimiento de colonias de animales genéticamente alterados establecidos, no utilizados en otros procedimientos</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75" thickBot="1" x14ac:dyDescent="0.3">
      <c r="A14" s="48" t="s">
        <v>544</v>
      </c>
      <c r="B14" s="9" t="str">
        <f t="shared" si="1"/>
        <v>Finalidad no UE</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5.75" thickBot="1" x14ac:dyDescent="0.3">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25">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25">
      <c r="A17" s="9" t="s">
        <v>425</v>
      </c>
      <c r="B17" s="9" t="str">
        <f t="shared" ref="B17:B52" si="4">IF(TRIM(HLOOKUP(language_or_default,purposeTranslations,MATCH(A17,purposeCode,0),FALSE))="",HLOOKUP("en",purposeTranslations,MATCH(A17,purposeCode,0),FALSE),HLOOKUP(language_or_default,purposeTranslations,MATCH(A17,purposeCode,0),FALSE))</f>
        <v>Oncología</v>
      </c>
      <c r="C17" s="9" t="str">
        <f>CONCATENATE(B$5,": ",B17," [",A17,"]")</f>
        <v>Investigación básica: Oncología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25">
      <c r="A18" s="9" t="s">
        <v>426</v>
      </c>
      <c r="B18" s="9" t="str">
        <f t="shared" si="4"/>
        <v>Sistema cardiovascular, sanguíneo y linfático</v>
      </c>
      <c r="C18" s="9" t="str">
        <f t="shared" ref="C18:C30" si="5">CONCATENATE(B$5,": ",B18," [",A18,"]")</f>
        <v>Investigación básica: Sistema cardiovascular, sanguíneo y linfático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25">
      <c r="A19" s="9" t="s">
        <v>427</v>
      </c>
      <c r="B19" s="9" t="str">
        <f t="shared" si="4"/>
        <v>Sistema nervioso</v>
      </c>
      <c r="C19" s="9" t="str">
        <f t="shared" si="5"/>
        <v>Investigación básica: Sistema nervioso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25">
      <c r="A20" s="9" t="s">
        <v>428</v>
      </c>
      <c r="B20" s="9" t="str">
        <f t="shared" si="4"/>
        <v>Sistema respiratorio</v>
      </c>
      <c r="C20" s="9" t="str">
        <f t="shared" si="5"/>
        <v>Investigación básica: Sistema respiratorio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25">
      <c r="A21" s="9" t="s">
        <v>429</v>
      </c>
      <c r="B21" s="9" t="str">
        <f t="shared" si="4"/>
        <v>Sistema gastrointestinal, hígado incluido</v>
      </c>
      <c r="C21" s="9" t="str">
        <f t="shared" si="5"/>
        <v>Investigación básica: Sistema gastrointestinal, hígado incluido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25">
      <c r="A22" s="9" t="s">
        <v>430</v>
      </c>
      <c r="B22" s="9" t="str">
        <f t="shared" si="4"/>
        <v>Sistema musculoesquelético.</v>
      </c>
      <c r="C22" s="9" t="str">
        <f t="shared" si="5"/>
        <v>Investigación básica: Sistema musculoesquelético.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25">
      <c r="A23" s="9" t="s">
        <v>431</v>
      </c>
      <c r="B23" s="9" t="str">
        <f t="shared" si="4"/>
        <v>Sistema inmunológico</v>
      </c>
      <c r="C23" s="9" t="str">
        <f t="shared" si="5"/>
        <v>Investigación básica: Sistema inmunológico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25">
      <c r="A24" s="9" t="s">
        <v>432</v>
      </c>
      <c r="B24" s="9" t="str">
        <f t="shared" si="4"/>
        <v>Sistema urogenital/reproductor</v>
      </c>
      <c r="C24" s="9" t="str">
        <f t="shared" si="5"/>
        <v>Investigación básica: Sistema urogenital/reproductor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25">
      <c r="A25" s="9" t="s">
        <v>433</v>
      </c>
      <c r="B25" s="9" t="str">
        <f t="shared" si="4"/>
        <v>Órganos sensoriales (piel, ojos y oídos)</v>
      </c>
      <c r="C25" s="9" t="str">
        <f t="shared" si="5"/>
        <v>Investigación básica: Órganos sensoriales (piel, ojos y oídos)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25">
      <c r="A26" s="9" t="s">
        <v>434</v>
      </c>
      <c r="B26" s="9" t="str">
        <f t="shared" si="4"/>
        <v>Sistema endocrino / metabolismo</v>
      </c>
      <c r="C26" s="9" t="str">
        <f t="shared" si="5"/>
        <v>Investigación básica: Sistema endocrino / metabolismo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25">
      <c r="A27" s="55" t="s">
        <v>438</v>
      </c>
      <c r="B27" s="9" t="str">
        <f t="shared" si="4"/>
        <v>Biología del desarrollo</v>
      </c>
      <c r="C27" s="9" t="str">
        <f t="shared" si="5"/>
        <v>Investigación básica: Biología del desarrollo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25">
      <c r="A28" s="9" t="s">
        <v>435</v>
      </c>
      <c r="B28" s="9" t="str">
        <f t="shared" si="4"/>
        <v>Multisistémico</v>
      </c>
      <c r="C28" s="9" t="str">
        <f t="shared" si="5"/>
        <v>Investigación básica: Multisistémico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25">
      <c r="A29" s="9" t="s">
        <v>436</v>
      </c>
      <c r="B29" s="9" t="str">
        <f t="shared" si="4"/>
        <v>Etología/Comportamiento animal/Biología animal</v>
      </c>
      <c r="C29" s="9" t="str">
        <f t="shared" si="5"/>
        <v>Investigación básica: Etología/Comportamiento animal/Biología animal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25">
      <c r="A30" s="9" t="s">
        <v>437</v>
      </c>
      <c r="B30" s="9" t="str">
        <f t="shared" si="4"/>
        <v>Otras investigaciones básicas</v>
      </c>
      <c r="C30" s="9" t="str">
        <f t="shared" si="5"/>
        <v>Investigación básica: Otras investigaciones básicas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25">
      <c r="A31" s="9" t="s">
        <v>457</v>
      </c>
      <c r="B31" s="9" t="str">
        <f t="shared" si="4"/>
        <v>Cáncer humano</v>
      </c>
      <c r="C31" s="9" t="str">
        <f>CONCATENATE(B$6,": ",B31," [",A31,"]")</f>
        <v>Investigación traslacional y aplicada: Cáncer humano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25">
      <c r="A32" s="9" t="s">
        <v>458</v>
      </c>
      <c r="B32" s="9" t="str">
        <f t="shared" si="4"/>
        <v>Enfermedades infecciosas humanas</v>
      </c>
      <c r="C32" s="9" t="str">
        <f t="shared" ref="C32:C48" si="6">CONCATENATE(B$6,": ",B32," [",A32,"]")</f>
        <v>Investigación traslacional y aplicada: Enfermedades infecciosas humanas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25">
      <c r="A33" s="9" t="s">
        <v>459</v>
      </c>
      <c r="B33" s="9" t="str">
        <f t="shared" si="4"/>
        <v>Enfermedades cardiovasculares humanas</v>
      </c>
      <c r="C33" s="9" t="str">
        <f t="shared" si="6"/>
        <v>Investigación traslacional y aplicada: Enfermedades cardiovasculares humanas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25">
      <c r="A34" s="9" t="s">
        <v>460</v>
      </c>
      <c r="B34" s="9" t="str">
        <f t="shared" si="4"/>
        <v>Enfermedades nerviosas y mentales humanas</v>
      </c>
      <c r="C34" s="9" t="str">
        <f t="shared" si="6"/>
        <v>Investigación traslacional y aplicada: Enfermedades nerviosas y mentales humanas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25">
      <c r="A35" s="9" t="s">
        <v>461</v>
      </c>
      <c r="B35" s="9" t="str">
        <f t="shared" si="4"/>
        <v>Enfermedades respiratorias humanas</v>
      </c>
      <c r="C35" s="9" t="str">
        <f t="shared" si="6"/>
        <v>Investigación traslacional y aplicada: Enfermedades respiratorias humanas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25">
      <c r="A36" s="9" t="s">
        <v>462</v>
      </c>
      <c r="B36" s="9" t="str">
        <f t="shared" si="4"/>
        <v>Enfermedades gastrointestinales humanas, incluidas las hepáticas</v>
      </c>
      <c r="C36" s="9" t="str">
        <f t="shared" si="6"/>
        <v>Investigación traslacional y aplicada: Enfermedades gastrointestinales humanas, incluidas las hepáticas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25">
      <c r="A37" s="9" t="s">
        <v>463</v>
      </c>
      <c r="B37" s="9" t="str">
        <f t="shared" si="4"/>
        <v>Enfermedades musculares y esqueléticas humanas</v>
      </c>
      <c r="C37" s="9" t="str">
        <f t="shared" si="6"/>
        <v>Investigación traslacional y aplicada: Enfermedades musculares y esqueléticas humanas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25">
      <c r="A38" s="9" t="s">
        <v>464</v>
      </c>
      <c r="B38" s="9" t="str">
        <f t="shared" si="4"/>
        <v>Enfermedades inmunológicas humanas</v>
      </c>
      <c r="C38" s="9" t="str">
        <f t="shared" si="6"/>
        <v>Investigación traslacional y aplicada: Enfermedades inmunológicas humanas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25">
      <c r="A39" s="9" t="s">
        <v>465</v>
      </c>
      <c r="B39" s="9" t="str">
        <f t="shared" si="4"/>
        <v>Enfermedades urogenitales y del aparato reproductor humanas</v>
      </c>
      <c r="C39" s="9" t="str">
        <f t="shared" si="6"/>
        <v>Investigación traslacional y aplicada: Enfermedades urogenitales y del aparato reproductor humanas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25">
      <c r="A40" s="9" t="s">
        <v>466</v>
      </c>
      <c r="B40" s="9" t="str">
        <f t="shared" si="4"/>
        <v>Enfermedades de los órganos sensoriales (piel, ojos y oídos) humanas</v>
      </c>
      <c r="C40" s="9" t="str">
        <f t="shared" si="6"/>
        <v>Investigación traslacional y aplicada: Enfermedades de los órganos sensoriales (piel, ojos y oídos) humanas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25">
      <c r="A41" s="9" t="s">
        <v>467</v>
      </c>
      <c r="B41" s="9" t="str">
        <f t="shared" si="4"/>
        <v>Enfermedades endocrinas y metabólicas humanas</v>
      </c>
      <c r="C41" s="9" t="str">
        <f t="shared" si="6"/>
        <v>Investigación traslacional y aplicada: Enfermedades endocrinas y metabólicas humanas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25">
      <c r="A42" s="9" t="s">
        <v>468</v>
      </c>
      <c r="B42" s="9" t="str">
        <f t="shared" si="4"/>
        <v>Otras enfermedades humanas</v>
      </c>
      <c r="C42" s="9" t="str">
        <f t="shared" si="6"/>
        <v>Investigación traslacional y aplicada: Otras enfermedades humanas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25">
      <c r="A43" s="9" t="s">
        <v>469</v>
      </c>
      <c r="B43" s="9" t="str">
        <f t="shared" si="4"/>
        <v>Enfermedades animales</v>
      </c>
      <c r="C43" s="9" t="str">
        <f t="shared" si="6"/>
        <v>Investigación traslacional y aplicada: Enfermedades animales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25">
      <c r="A44" s="55" t="s">
        <v>474</v>
      </c>
      <c r="B44" s="9" t="str">
        <f t="shared" si="4"/>
        <v>Nutrición animal</v>
      </c>
      <c r="C44" s="9" t="str">
        <f t="shared" si="6"/>
        <v>Investigación traslacional y aplicada: Nutrición animal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25">
      <c r="A45" s="9" t="s">
        <v>470</v>
      </c>
      <c r="B45" s="9" t="str">
        <f t="shared" si="4"/>
        <v>Bienestar de los animales</v>
      </c>
      <c r="C45" s="9" t="str">
        <f t="shared" si="6"/>
        <v>Investigación traslacional y aplicada: Bienestar de los animales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25">
      <c r="A46" s="9" t="s">
        <v>471</v>
      </c>
      <c r="B46" s="9" t="str">
        <f t="shared" si="4"/>
        <v>Diagnóstico de enfermedades</v>
      </c>
      <c r="C46" s="9" t="str">
        <f t="shared" si="6"/>
        <v>Investigación traslacional y aplicada: Diagnóstico de enfermedades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25">
      <c r="A47" s="9" t="s">
        <v>472</v>
      </c>
      <c r="B47" s="9" t="str">
        <f t="shared" si="4"/>
        <v>Enfermedades de las plantas</v>
      </c>
      <c r="C47" s="9" t="str">
        <f t="shared" si="6"/>
        <v>Investigación traslacional y aplicada: Enfermedades de las plantas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25">
      <c r="A48" s="9" t="s">
        <v>473</v>
      </c>
      <c r="B48" s="9" t="str">
        <f t="shared" si="4"/>
        <v>Toxicología y ecotoxicología no reglamentarias</v>
      </c>
      <c r="C48" s="9" t="str">
        <f t="shared" si="6"/>
        <v>Investigación traslacional y aplicada: Toxicología y ecotoxicología no reglamentarias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25">
      <c r="A49" s="55" t="s">
        <v>481</v>
      </c>
      <c r="B49" s="9" t="str">
        <f t="shared" si="4"/>
        <v>Control de calidad (incluidos los ensayos de seguridad y potencia de los lotes)</v>
      </c>
      <c r="C49" s="9" t="str">
        <f>CONCATENATE(B$7,": ",B49," [",A49,"]")</f>
        <v>Utilización reglamentaria y producción rutinaria: Control de calidad (incluidos los ensayos de seguridad y potencia de los lotes)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25">
      <c r="A50" s="9" t="s">
        <v>482</v>
      </c>
      <c r="B50" s="9" t="str">
        <f t="shared" si="4"/>
        <v>Otros ensayos de eficacia y tolerancia</v>
      </c>
      <c r="C50" s="9" t="str">
        <f t="shared" ref="C50:C52" si="7">CONCATENATE(B$7,": ",B50," [",A50,"]")</f>
        <v>Utilización reglamentaria y producción rutinaria: Otros ensayos de eficacia y tolerancia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25">
      <c r="A51" s="55" t="s">
        <v>483</v>
      </c>
      <c r="B51" s="9" t="str">
        <f t="shared" si="4"/>
        <v>Ensayos de toxicidad y otros ensayos de seguridad, incluida la farmacología</v>
      </c>
      <c r="C51" s="9" t="str">
        <f t="shared" si="7"/>
        <v>Utilización reglamentaria y producción rutinaria: Ensayos de toxicidad y otros ensayos de seguridad, incluida la farmacología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25">
      <c r="A52" s="55" t="s">
        <v>484</v>
      </c>
      <c r="B52" s="9" t="str">
        <f t="shared" si="4"/>
        <v>Producción rutinaria por tipo de producto</v>
      </c>
      <c r="C52" s="9" t="str">
        <f t="shared" si="7"/>
        <v>Utilización reglamentaria y producción rutinaria: Producción rutinaria por tipo de producto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25">
      <c r="A53" s="56" t="s">
        <v>485</v>
      </c>
      <c r="C53" s="9" t="str">
        <f>CONCATENATE(B$8," [",A53,"]")</f>
        <v>Protección del medio ambiente natural en interés de la salud o del bienestar de los seres humanos o de los animales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25">
      <c r="A54" s="48" t="s">
        <v>486</v>
      </c>
      <c r="C54" s="9" t="str">
        <f>CONCATENATE(B$9," [",A54,"]")</f>
        <v>Preservación de especies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25">
      <c r="A55" s="49" t="s">
        <v>487</v>
      </c>
      <c r="C55" s="9" t="str">
        <f>CONCATENATE(B$10," [",A55,"]")</f>
        <v>Enseñanza superior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25">
      <c r="A56" s="49" t="s">
        <v>488</v>
      </c>
      <c r="C56" s="9" t="str">
        <f>CONCATENATE(B$11," [",A56,"]")</f>
        <v>Formación para la adquisición, mantenimiento o mejora de aptitudes profesionales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25">
      <c r="A57" s="48" t="s">
        <v>489</v>
      </c>
      <c r="C57" s="9" t="str">
        <f>CONCATENATE(B$12," [",A57,"]")</f>
        <v>Investigaciones medicolegales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25">
      <c r="A58" s="48" t="s">
        <v>490</v>
      </c>
      <c r="C58" s="9" t="str">
        <f>CONCATENATE(B$13," [",A58,"]")</f>
        <v>Mantenimiento de colonias de animales genéticamente alterados establecidos, no utilizados en otros procedimientos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75" thickBot="1" x14ac:dyDescent="0.3">
      <c r="A59" s="48" t="s">
        <v>544</v>
      </c>
      <c r="C59" s="9" t="str">
        <f>CONCATENATE(B$14," [",A59,"]")</f>
        <v>Finalidad no UE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25">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75" thickBot="1" x14ac:dyDescent="0.3"/>
    <row r="62" spans="1:28" s="53" customFormat="1" x14ac:dyDescent="0.25">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25">
      <c r="A63" s="9">
        <v>1</v>
      </c>
      <c r="B63" s="9" t="str">
        <f>IF(TRIM(HLOOKUP(language_or_default,choiceTranslations,MATCH(A63,choiceCode,0),FALSE))="",HLOOKUP("en",choiceTranslations,MATCH(A63,choiceCode,0),FALSE),HLOOKUP(language_or_default,choiceTranslations,MATCH(A63,choiceCode,0),FALSE))</f>
        <v>sí</v>
      </c>
      <c r="C63" s="9" t="str">
        <f>CONCATENATE(B63," ","[",A63,"]")</f>
        <v>sí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75" thickBot="1" x14ac:dyDescent="0.3">
      <c r="A64" s="9">
        <v>0</v>
      </c>
      <c r="B64" s="9" t="str">
        <f>IF(TRIM(HLOOKUP(language_or_default,choiceTranslations,MATCH(A64,choiceCode,0),FALSE))="",HLOOKUP("en",choiceTranslations,MATCH(A64,choiceCode,0),FALSE),HLOOKUP(language_or_default,choiceTranslations,MATCH(A64,choiceCode,0),FALSE))</f>
        <v>no</v>
      </c>
      <c r="C64" s="9" t="str">
        <f>CONCATENATE(B64," ","[",A64,"]")</f>
        <v>no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75" thickBot="1" x14ac:dyDescent="0.3">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25">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25">
      <c r="A67" s="9" t="s">
        <v>192</v>
      </c>
      <c r="B67" s="52" t="str">
        <f t="shared" ref="B67:B108" si="10">IF(TRIM(HLOOKUP(language_or_default,speciesTranslations,MATCH(A67,speciesCode,0),FALSE))="",HLOOKUP("en",speciesTranslations,MATCH(A67,speciesCode,0),FALSE),HLOOKUP(language_or_default,speciesTranslations,MATCH(A67,speciesCode,0),FALSE))</f>
        <v>Ratones</v>
      </c>
      <c r="C67" s="52" t="str">
        <f>CONCATENATE(B67," (",AC67,") ","[",A67,"]")</f>
        <v>Ratones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25">
      <c r="A68" s="9" t="s">
        <v>193</v>
      </c>
      <c r="B68" s="52" t="str">
        <f t="shared" si="10"/>
        <v>Ratas</v>
      </c>
      <c r="C68" s="52" t="str">
        <f t="shared" ref="C68:C107" si="11">CONCATENATE(B68," (",AC68,") ","[",A68,"]")</f>
        <v>Ratas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25">
      <c r="A69" s="9" t="s">
        <v>194</v>
      </c>
      <c r="B69" s="52" t="str">
        <f t="shared" si="10"/>
        <v>Cobayas</v>
      </c>
      <c r="C69" s="52" t="str">
        <f t="shared" si="11"/>
        <v>Cobayas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25">
      <c r="A70" s="9" t="s">
        <v>195</v>
      </c>
      <c r="B70" s="52" t="str">
        <f t="shared" si="10"/>
        <v>Hámsteres (sirios)</v>
      </c>
      <c r="C70" s="52" t="str">
        <f t="shared" si="11"/>
        <v>Hámsteres (sirios)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25">
      <c r="A71" s="9" t="s">
        <v>196</v>
      </c>
      <c r="B71" s="52" t="str">
        <f t="shared" si="10"/>
        <v>Hámsteres enanos (chinos)</v>
      </c>
      <c r="C71" s="52" t="str">
        <f t="shared" si="11"/>
        <v>Hámsteres enanos (chinos)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25">
      <c r="A72" s="9" t="s">
        <v>197</v>
      </c>
      <c r="B72" s="52" t="str">
        <f t="shared" si="10"/>
        <v>Gerbos de Mongolia</v>
      </c>
      <c r="C72" s="52" t="str">
        <f t="shared" si="11"/>
        <v>Gerbos de Mongolia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25">
      <c r="A73" s="9" t="s">
        <v>198</v>
      </c>
      <c r="B73" s="52" t="str">
        <f t="shared" si="10"/>
        <v>Otros roedores</v>
      </c>
      <c r="C73" s="52" t="str">
        <f t="shared" si="11"/>
        <v>Otros roedores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25">
      <c r="A74" s="9" t="s">
        <v>199</v>
      </c>
      <c r="B74" s="52" t="str">
        <f t="shared" si="10"/>
        <v>Conejos</v>
      </c>
      <c r="C74" s="52" t="str">
        <f t="shared" si="11"/>
        <v>Conejos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25">
      <c r="A75" s="9" t="s">
        <v>200</v>
      </c>
      <c r="B75" s="52" t="str">
        <f t="shared" si="10"/>
        <v>Gatos</v>
      </c>
      <c r="C75" s="52" t="str">
        <f t="shared" si="11"/>
        <v>Gatos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25">
      <c r="A76" s="9" t="s">
        <v>201</v>
      </c>
      <c r="B76" s="52" t="str">
        <f t="shared" si="10"/>
        <v>Perros</v>
      </c>
      <c r="C76" s="52" t="str">
        <f t="shared" si="11"/>
        <v>Perros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25">
      <c r="A77" s="9" t="s">
        <v>202</v>
      </c>
      <c r="B77" s="52" t="str">
        <f t="shared" si="10"/>
        <v>Hurones</v>
      </c>
      <c r="C77" s="52" t="str">
        <f t="shared" si="11"/>
        <v>Hurones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25">
      <c r="A78" s="9" t="s">
        <v>203</v>
      </c>
      <c r="B78" s="52" t="str">
        <f t="shared" si="10"/>
        <v>Otros carnívoros</v>
      </c>
      <c r="C78" s="52" t="str">
        <f t="shared" si="11"/>
        <v>Otros carnívoros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25">
      <c r="A79" s="9" t="s">
        <v>204</v>
      </c>
      <c r="B79" s="52" t="str">
        <f t="shared" si="10"/>
        <v>Caballos, burros y sus cruces</v>
      </c>
      <c r="C79" s="52" t="str">
        <f t="shared" si="11"/>
        <v>Caballos, burros y sus cruces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25">
      <c r="A80" s="9" t="s">
        <v>205</v>
      </c>
      <c r="B80" s="52" t="str">
        <f t="shared" si="10"/>
        <v>Cerdos</v>
      </c>
      <c r="C80" s="52" t="str">
        <f t="shared" si="11"/>
        <v>Cerdos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25">
      <c r="A81" s="9" t="s">
        <v>206</v>
      </c>
      <c r="B81" s="52" t="str">
        <f t="shared" si="10"/>
        <v>Cabras</v>
      </c>
      <c r="C81" s="52" t="str">
        <f t="shared" si="11"/>
        <v>Cabras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25">
      <c r="A82" s="9" t="s">
        <v>207</v>
      </c>
      <c r="B82" s="52" t="str">
        <f t="shared" si="10"/>
        <v>Ovejas</v>
      </c>
      <c r="C82" s="52" t="str">
        <f t="shared" si="11"/>
        <v>Ovejas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25">
      <c r="A83" s="9" t="s">
        <v>208</v>
      </c>
      <c r="B83" s="52" t="str">
        <f t="shared" si="10"/>
        <v>Bovinos</v>
      </c>
      <c r="C83" s="52" t="str">
        <f t="shared" si="11"/>
        <v>Bovinos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25">
      <c r="A84" s="9" t="s">
        <v>209</v>
      </c>
      <c r="B84" s="52" t="str">
        <f t="shared" si="10"/>
        <v>Prosimios</v>
      </c>
      <c r="C84" s="52" t="str">
        <f t="shared" si="11"/>
        <v>Prosimios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25">
      <c r="A85" s="9" t="s">
        <v>210</v>
      </c>
      <c r="B85" s="52" t="str">
        <f t="shared" si="10"/>
        <v>Titíes y tamarinos</v>
      </c>
      <c r="C85" s="52" t="str">
        <f t="shared" si="11"/>
        <v>Titíes y tamarinos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25">
      <c r="A86" s="9" t="s">
        <v>211</v>
      </c>
      <c r="B86" s="52" t="str">
        <f t="shared" si="10"/>
        <v>Macacos cangrejeros</v>
      </c>
      <c r="C86" s="52" t="str">
        <f t="shared" si="11"/>
        <v>Macacos cangrejeros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25">
      <c r="A87" s="9" t="s">
        <v>212</v>
      </c>
      <c r="B87" s="52" t="str">
        <f t="shared" si="10"/>
        <v>Macacos Rhesus</v>
      </c>
      <c r="C87" s="52" t="str">
        <f t="shared" si="11"/>
        <v>Macacos Rhesus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25">
      <c r="A88" s="9" t="s">
        <v>213</v>
      </c>
      <c r="B88" s="52" t="str">
        <f t="shared" si="10"/>
        <v>Macacos verdes (Chlorocebus spp.)</v>
      </c>
      <c r="C88" s="52" t="str">
        <f t="shared" si="11"/>
        <v>Macacos verdes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25">
      <c r="A89" s="9" t="s">
        <v>214</v>
      </c>
      <c r="B89" s="52" t="str">
        <f t="shared" si="10"/>
        <v>Babuinos (Papio spp.)</v>
      </c>
      <c r="C89" s="52" t="str">
        <f t="shared" si="11"/>
        <v>Babuinos (Papio spp.)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25">
      <c r="A90" s="9" t="s">
        <v>215</v>
      </c>
      <c r="B90" s="52" t="str">
        <f t="shared" si="10"/>
        <v>Saimiris dorsirrojos</v>
      </c>
      <c r="C90" s="52" t="str">
        <f t="shared" si="11"/>
        <v>Saimiris dorsirrojos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25">
      <c r="A91" s="9" t="s">
        <v>216</v>
      </c>
      <c r="B91" s="52" t="str">
        <f t="shared" si="10"/>
        <v>Otras especies de monos del Viejo Mundo</v>
      </c>
      <c r="C91" s="52" t="str">
        <f t="shared" si="11"/>
        <v>Otras especies de monos del Viejo Mundo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25">
      <c r="A92" s="9" t="s">
        <v>217</v>
      </c>
      <c r="B92" s="52" t="str">
        <f t="shared" si="10"/>
        <v>Otras especies de monos del Nuevo Mundo</v>
      </c>
      <c r="C92" s="52" t="str">
        <f t="shared" si="11"/>
        <v>Otras especies de monos del Nuevo Mundo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25">
      <c r="A93" s="9" t="s">
        <v>218</v>
      </c>
      <c r="B93" s="52" t="str">
        <f t="shared" si="10"/>
        <v>Simios antropoides</v>
      </c>
      <c r="C93" s="52" t="str">
        <f t="shared" si="11"/>
        <v>Simios antropoides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25">
      <c r="A94" s="9" t="s">
        <v>219</v>
      </c>
      <c r="B94" s="52" t="str">
        <f t="shared" si="10"/>
        <v>Otros mamíferos</v>
      </c>
      <c r="C94" s="52" t="str">
        <f t="shared" si="11"/>
        <v>Otros mamíferos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25">
      <c r="A95" s="9" t="s">
        <v>220</v>
      </c>
      <c r="B95" s="52" t="str">
        <f t="shared" si="10"/>
        <v>Aves de corral</v>
      </c>
      <c r="C95" s="52" t="str">
        <f t="shared" si="11"/>
        <v>Aves de corral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25">
      <c r="A96" s="55" t="s">
        <v>374</v>
      </c>
      <c r="B96" s="52" t="str">
        <f t="shared" si="10"/>
        <v>Pavos</v>
      </c>
      <c r="C96" s="52" t="str">
        <f t="shared" si="11"/>
        <v>Pavos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25">
      <c r="A97" s="9" t="s">
        <v>221</v>
      </c>
      <c r="B97" s="52" t="str">
        <f t="shared" si="10"/>
        <v>Otras aves</v>
      </c>
      <c r="C97" s="52" t="str">
        <f t="shared" si="11"/>
        <v>Otras aves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25">
      <c r="A98" s="9" t="s">
        <v>222</v>
      </c>
      <c r="B98" s="52" t="str">
        <f t="shared" si="10"/>
        <v>Reptiles</v>
      </c>
      <c r="C98" s="52" t="str">
        <f t="shared" si="11"/>
        <v>Reptiles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25">
      <c r="A99" s="9" t="s">
        <v>223</v>
      </c>
      <c r="B99" s="52" t="str">
        <f t="shared" si="10"/>
        <v>Ranas</v>
      </c>
      <c r="C99" s="52" t="str">
        <f t="shared" si="11"/>
        <v>Ranas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25">
      <c r="A100" s="9" t="s">
        <v>224</v>
      </c>
      <c r="B100" s="52" t="str">
        <f t="shared" si="10"/>
        <v>Ranas Xenopus</v>
      </c>
      <c r="C100" s="52" t="str">
        <f t="shared" si="11"/>
        <v>Ranas Xenopus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25">
      <c r="A101" s="9" t="s">
        <v>225</v>
      </c>
      <c r="B101" s="52" t="str">
        <f t="shared" si="10"/>
        <v>Otros anfibios</v>
      </c>
      <c r="C101" s="52" t="str">
        <f t="shared" si="11"/>
        <v>Otros anfibios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25">
      <c r="A102" s="9" t="s">
        <v>226</v>
      </c>
      <c r="B102" s="52" t="str">
        <f t="shared" si="10"/>
        <v>Peces cebra</v>
      </c>
      <c r="C102" s="52" t="str">
        <f t="shared" si="11"/>
        <v>Peces cebra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25">
      <c r="A103" s="55" t="s">
        <v>377</v>
      </c>
      <c r="B103" s="52" t="str">
        <f t="shared" si="10"/>
        <v>Lubinas</v>
      </c>
      <c r="C103" s="52" t="str">
        <f t="shared" si="11"/>
        <v>Lubinas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25">
      <c r="A104" s="55" t="s">
        <v>378</v>
      </c>
      <c r="B104" s="52" t="str">
        <f t="shared" si="10"/>
        <v>Salmones, truchas, salvelinos y tímalos</v>
      </c>
      <c r="C104" s="52" t="str">
        <f t="shared" si="11"/>
        <v>Salmones, truchas, salvelinos y tímalos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25">
      <c r="A105" s="55" t="s">
        <v>379</v>
      </c>
      <c r="B105" s="52" t="str">
        <f t="shared" si="10"/>
        <v>Gupis, xiphos, molis y platis</v>
      </c>
      <c r="C105" s="52" t="str">
        <f t="shared" si="11"/>
        <v>Gupis, xiphos, molis y platis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25">
      <c r="A106" s="9" t="s">
        <v>227</v>
      </c>
      <c r="B106" s="52" t="str">
        <f t="shared" si="10"/>
        <v>Otros peces</v>
      </c>
      <c r="C106" s="52" t="str">
        <f t="shared" si="11"/>
        <v>Otros peces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25">
      <c r="A107" s="9" t="s">
        <v>228</v>
      </c>
      <c r="B107" s="52" t="str">
        <f t="shared" si="10"/>
        <v>Cefalópodos</v>
      </c>
      <c r="C107" s="52" t="str">
        <f t="shared" si="11"/>
        <v>Cefalópodos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5.75" thickBot="1" x14ac:dyDescent="0.3">
      <c r="A108" s="55" t="s">
        <v>229</v>
      </c>
      <c r="B108" s="52" t="str">
        <f t="shared" si="10"/>
        <v>mamíferos no especificados</v>
      </c>
      <c r="C108" s="52" t="str">
        <f>CONCATENATE(B108," [",A108,"]")</f>
        <v>mamíferos no especificados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5.75" thickBot="1" x14ac:dyDescent="0.3"/>
    <row r="110" spans="1:29" x14ac:dyDescent="0.25">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25">
      <c r="A111" s="9" t="s">
        <v>64</v>
      </c>
      <c r="B111" s="9" t="str">
        <f t="shared" ref="B111:B141" si="13">IF(TRIM(HLOOKUP(language_or_default,textTranslations,MATCH(A111,text,0),FALSE))="",HLOOKUP("en",textTranslations,MATCH(A111,text,0),FALSE),HLOOKUP(language_or_default,textTranslations,MATCH(A111,text,0),FALSE))</f>
        <v>País</v>
      </c>
      <c r="D111" s="78" t="s">
        <v>2584</v>
      </c>
      <c r="E111" s="79" t="s">
        <v>2585</v>
      </c>
      <c r="F111" s="80" t="s">
        <v>2586</v>
      </c>
      <c r="G111" s="80" t="s">
        <v>2586</v>
      </c>
      <c r="H111" s="79" t="s">
        <v>2587</v>
      </c>
      <c r="I111" s="48" t="s">
        <v>65</v>
      </c>
      <c r="J111" s="79" t="s">
        <v>3101</v>
      </c>
      <c r="K111" s="79" t="s">
        <v>3102</v>
      </c>
      <c r="L111" s="79" t="s">
        <v>3103</v>
      </c>
      <c r="M111" s="79" t="s">
        <v>3104</v>
      </c>
      <c r="N111" s="79"/>
      <c r="O111" s="79" t="s">
        <v>3105</v>
      </c>
      <c r="P111" s="79" t="s">
        <v>3106</v>
      </c>
      <c r="Q111" s="79" t="s">
        <v>3107</v>
      </c>
      <c r="R111" s="79" t="s">
        <v>3108</v>
      </c>
      <c r="S111" s="79" t="s">
        <v>3109</v>
      </c>
      <c r="T111" s="79" t="s">
        <v>3110</v>
      </c>
      <c r="U111" s="79" t="s">
        <v>2586</v>
      </c>
      <c r="V111" s="80" t="s">
        <v>3111</v>
      </c>
      <c r="W111" s="79" t="s">
        <v>3101</v>
      </c>
      <c r="X111" s="79" t="s">
        <v>3112</v>
      </c>
      <c r="Y111" s="79" t="s">
        <v>3113</v>
      </c>
      <c r="Z111" s="79" t="s">
        <v>3105</v>
      </c>
      <c r="AA111" s="79" t="s">
        <v>3114</v>
      </c>
      <c r="AB111" s="81" t="s">
        <v>2586</v>
      </c>
    </row>
    <row r="112" spans="1:29" x14ac:dyDescent="0.25">
      <c r="A112" s="9" t="s">
        <v>66</v>
      </c>
      <c r="B112" s="9" t="str">
        <f t="shared" si="13"/>
        <v>Lengua</v>
      </c>
      <c r="D112" s="78" t="s">
        <v>2588</v>
      </c>
      <c r="E112" s="79" t="s">
        <v>2589</v>
      </c>
      <c r="F112" s="80" t="s">
        <v>2590</v>
      </c>
      <c r="G112" s="80" t="s">
        <v>2591</v>
      </c>
      <c r="H112" s="79" t="s">
        <v>2592</v>
      </c>
      <c r="I112" s="61" t="s">
        <v>69</v>
      </c>
      <c r="J112" s="79" t="s">
        <v>3115</v>
      </c>
      <c r="K112" s="79" t="s">
        <v>3116</v>
      </c>
      <c r="L112" s="79" t="s">
        <v>3117</v>
      </c>
      <c r="M112" s="79" t="s">
        <v>3118</v>
      </c>
      <c r="N112" s="79"/>
      <c r="O112" s="79" t="s">
        <v>3119</v>
      </c>
      <c r="P112" s="79" t="s">
        <v>3120</v>
      </c>
      <c r="Q112" s="79" t="s">
        <v>3121</v>
      </c>
      <c r="R112" s="79" t="s">
        <v>3122</v>
      </c>
      <c r="S112" s="79" t="s">
        <v>3123</v>
      </c>
      <c r="T112" s="79" t="s">
        <v>3124</v>
      </c>
      <c r="U112" s="79" t="s">
        <v>3125</v>
      </c>
      <c r="V112" s="80" t="s">
        <v>3126</v>
      </c>
      <c r="W112" s="79" t="s">
        <v>3127</v>
      </c>
      <c r="X112" s="79" t="s">
        <v>3128</v>
      </c>
      <c r="Y112" s="79" t="s">
        <v>2589</v>
      </c>
      <c r="Z112" s="79" t="s">
        <v>3119</v>
      </c>
      <c r="AA112" s="79" t="s">
        <v>3129</v>
      </c>
      <c r="AB112" s="81" t="s">
        <v>3130</v>
      </c>
    </row>
    <row r="113" spans="1:28" x14ac:dyDescent="0.25">
      <c r="A113" s="9" t="s">
        <v>512</v>
      </c>
      <c r="B113" s="9" t="str">
        <f t="shared" si="13"/>
        <v>Presentación UE</v>
      </c>
      <c r="D113" s="78" t="s">
        <v>2593</v>
      </c>
      <c r="E113" s="79" t="s">
        <v>2594</v>
      </c>
      <c r="F113" s="80" t="s">
        <v>2595</v>
      </c>
      <c r="G113" s="80" t="s">
        <v>2596</v>
      </c>
      <c r="H113" s="79" t="s">
        <v>2597</v>
      </c>
      <c r="I113" s="61" t="s">
        <v>510</v>
      </c>
      <c r="J113" s="79" t="s">
        <v>3131</v>
      </c>
      <c r="K113" s="79" t="s">
        <v>3132</v>
      </c>
      <c r="L113" s="79" t="s">
        <v>3133</v>
      </c>
      <c r="M113" s="79" t="s">
        <v>3134</v>
      </c>
      <c r="N113" s="79"/>
      <c r="O113" s="79" t="s">
        <v>3135</v>
      </c>
      <c r="P113" s="79" t="s">
        <v>3136</v>
      </c>
      <c r="Q113" s="79" t="s">
        <v>3137</v>
      </c>
      <c r="R113" s="79" t="s">
        <v>3138</v>
      </c>
      <c r="S113" s="79" t="s">
        <v>3139</v>
      </c>
      <c r="T113" s="79" t="s">
        <v>3140</v>
      </c>
      <c r="U113" s="79" t="s">
        <v>3141</v>
      </c>
      <c r="V113" s="80" t="s">
        <v>3142</v>
      </c>
      <c r="W113" s="79" t="s">
        <v>3143</v>
      </c>
      <c r="X113" s="79" t="s">
        <v>3144</v>
      </c>
      <c r="Y113" s="79" t="s">
        <v>3145</v>
      </c>
      <c r="Z113" s="79" t="s">
        <v>3146</v>
      </c>
      <c r="AA113" s="79" t="s">
        <v>3147</v>
      </c>
      <c r="AB113" s="81" t="s">
        <v>3148</v>
      </c>
    </row>
    <row r="114" spans="1:28" x14ac:dyDescent="0.25">
      <c r="A114" s="13" t="s">
        <v>73</v>
      </c>
      <c r="B114" s="9" t="str">
        <f t="shared" si="13"/>
        <v>Título del proyecto</v>
      </c>
      <c r="D114" s="78" t="s">
        <v>2598</v>
      </c>
      <c r="E114" s="79" t="s">
        <v>2599</v>
      </c>
      <c r="F114" s="80" t="s">
        <v>2600</v>
      </c>
      <c r="G114" s="80" t="s">
        <v>2601</v>
      </c>
      <c r="H114" s="79" t="s">
        <v>2602</v>
      </c>
      <c r="I114" s="61" t="s">
        <v>70</v>
      </c>
      <c r="J114" s="79" t="s">
        <v>3149</v>
      </c>
      <c r="K114" s="79" t="s">
        <v>3150</v>
      </c>
      <c r="L114" s="79" t="s">
        <v>3151</v>
      </c>
      <c r="M114" s="79" t="s">
        <v>3152</v>
      </c>
      <c r="N114" s="79"/>
      <c r="O114" s="79" t="s">
        <v>3153</v>
      </c>
      <c r="P114" s="79" t="s">
        <v>3154</v>
      </c>
      <c r="Q114" s="79" t="s">
        <v>3155</v>
      </c>
      <c r="R114" s="79" t="s">
        <v>3156</v>
      </c>
      <c r="S114" s="79" t="s">
        <v>3157</v>
      </c>
      <c r="T114" s="79" t="s">
        <v>3158</v>
      </c>
      <c r="U114" s="79" t="s">
        <v>3159</v>
      </c>
      <c r="V114" s="80" t="s">
        <v>3160</v>
      </c>
      <c r="W114" s="79" t="s">
        <v>3161</v>
      </c>
      <c r="X114" s="79" t="s">
        <v>3162</v>
      </c>
      <c r="Y114" s="79" t="s">
        <v>3163</v>
      </c>
      <c r="Z114" s="79" t="s">
        <v>3153</v>
      </c>
      <c r="AA114" s="79" t="s">
        <v>3164</v>
      </c>
      <c r="AB114" s="81" t="s">
        <v>3165</v>
      </c>
    </row>
    <row r="115" spans="1:28" x14ac:dyDescent="0.25">
      <c r="A115" s="13" t="s">
        <v>74</v>
      </c>
      <c r="B115" s="9" t="str">
        <f t="shared" si="13"/>
        <v>Duración del proyecto</v>
      </c>
      <c r="D115" s="78" t="s">
        <v>2603</v>
      </c>
      <c r="E115" s="79" t="s">
        <v>2604</v>
      </c>
      <c r="F115" s="80" t="s">
        <v>2605</v>
      </c>
      <c r="G115" s="80" t="s">
        <v>2606</v>
      </c>
      <c r="H115" s="79" t="s">
        <v>2607</v>
      </c>
      <c r="I115" s="61" t="s">
        <v>71</v>
      </c>
      <c r="J115" s="79" t="s">
        <v>3166</v>
      </c>
      <c r="K115" s="79" t="s">
        <v>3167</v>
      </c>
      <c r="L115" s="79" t="s">
        <v>3168</v>
      </c>
      <c r="M115" s="79" t="s">
        <v>3169</v>
      </c>
      <c r="N115" s="79"/>
      <c r="O115" s="79" t="s">
        <v>3170</v>
      </c>
      <c r="P115" s="79" t="s">
        <v>3171</v>
      </c>
      <c r="Q115" s="79" t="s">
        <v>3172</v>
      </c>
      <c r="R115" s="79" t="s">
        <v>3173</v>
      </c>
      <c r="S115" s="79" t="s">
        <v>3174</v>
      </c>
      <c r="T115" s="79" t="s">
        <v>3175</v>
      </c>
      <c r="U115" s="79" t="s">
        <v>3176</v>
      </c>
      <c r="V115" s="80" t="s">
        <v>3177</v>
      </c>
      <c r="W115" s="79" t="s">
        <v>3178</v>
      </c>
      <c r="X115" s="79" t="s">
        <v>3179</v>
      </c>
      <c r="Y115" s="79" t="s">
        <v>3180</v>
      </c>
      <c r="Z115" s="79" t="s">
        <v>3170</v>
      </c>
      <c r="AA115" s="79" t="s">
        <v>3181</v>
      </c>
      <c r="AB115" s="81" t="s">
        <v>3182</v>
      </c>
    </row>
    <row r="116" spans="1:28" x14ac:dyDescent="0.25">
      <c r="A116" s="13" t="s">
        <v>72</v>
      </c>
      <c r="B116" s="9" t="str">
        <f t="shared" si="13"/>
        <v>Palabras clave</v>
      </c>
      <c r="D116" s="78" t="s">
        <v>2608</v>
      </c>
      <c r="E116" s="79" t="s">
        <v>2609</v>
      </c>
      <c r="F116" s="80" t="s">
        <v>2610</v>
      </c>
      <c r="G116" s="80" t="s">
        <v>2611</v>
      </c>
      <c r="H116" s="79" t="s">
        <v>2612</v>
      </c>
      <c r="I116" s="61" t="s">
        <v>75</v>
      </c>
      <c r="J116" s="79" t="s">
        <v>3183</v>
      </c>
      <c r="K116" s="79" t="s">
        <v>3184</v>
      </c>
      <c r="L116" s="79" t="s">
        <v>3185</v>
      </c>
      <c r="M116" s="79" t="s">
        <v>3186</v>
      </c>
      <c r="N116" s="79"/>
      <c r="O116" s="79" t="s">
        <v>3187</v>
      </c>
      <c r="P116" s="79" t="s">
        <v>3188</v>
      </c>
      <c r="Q116" s="79" t="s">
        <v>3189</v>
      </c>
      <c r="R116" s="79" t="s">
        <v>3190</v>
      </c>
      <c r="S116" s="79" t="s">
        <v>3191</v>
      </c>
      <c r="T116" s="79" t="s">
        <v>3192</v>
      </c>
      <c r="U116" s="79" t="s">
        <v>3193</v>
      </c>
      <c r="V116" s="80" t="s">
        <v>3194</v>
      </c>
      <c r="W116" s="79" t="s">
        <v>3195</v>
      </c>
      <c r="X116" s="79" t="s">
        <v>3196</v>
      </c>
      <c r="Y116" s="79" t="s">
        <v>3197</v>
      </c>
      <c r="Z116" s="79" t="s">
        <v>3198</v>
      </c>
      <c r="AA116" s="79" t="s">
        <v>3199</v>
      </c>
      <c r="AB116" s="81" t="s">
        <v>3200</v>
      </c>
    </row>
    <row r="117" spans="1:28" x14ac:dyDescent="0.25">
      <c r="A117" s="13" t="s">
        <v>76</v>
      </c>
      <c r="B117" s="9" t="str">
        <f t="shared" si="13"/>
        <v>Palabra clave (Keyword)</v>
      </c>
      <c r="D117" s="78" t="s">
        <v>2613</v>
      </c>
      <c r="E117" s="79" t="s">
        <v>2614</v>
      </c>
      <c r="F117" s="80" t="s">
        <v>2610</v>
      </c>
      <c r="G117" s="80" t="s">
        <v>2615</v>
      </c>
      <c r="H117" s="79" t="s">
        <v>2616</v>
      </c>
      <c r="I117" s="61" t="s">
        <v>77</v>
      </c>
      <c r="J117" s="79" t="s">
        <v>3201</v>
      </c>
      <c r="K117" s="79" t="s">
        <v>3202</v>
      </c>
      <c r="L117" s="79" t="s">
        <v>3203</v>
      </c>
      <c r="M117" s="79" t="s">
        <v>3204</v>
      </c>
      <c r="N117" s="79"/>
      <c r="O117" s="79" t="s">
        <v>3205</v>
      </c>
      <c r="P117" s="79" t="s">
        <v>3206</v>
      </c>
      <c r="Q117" s="79" t="s">
        <v>3207</v>
      </c>
      <c r="R117" s="79" t="s">
        <v>3208</v>
      </c>
      <c r="S117" s="79" t="s">
        <v>3209</v>
      </c>
      <c r="T117" s="79" t="s">
        <v>3210</v>
      </c>
      <c r="U117" s="79" t="s">
        <v>3211</v>
      </c>
      <c r="V117" s="80" t="s">
        <v>3212</v>
      </c>
      <c r="W117" s="79" t="s">
        <v>3213</v>
      </c>
      <c r="X117" s="79" t="s">
        <v>3214</v>
      </c>
      <c r="Y117" s="79" t="s">
        <v>3215</v>
      </c>
      <c r="Z117" s="79" t="s">
        <v>3216</v>
      </c>
      <c r="AA117" s="79" t="s">
        <v>3199</v>
      </c>
      <c r="AB117" s="81" t="s">
        <v>3200</v>
      </c>
    </row>
    <row r="118" spans="1:28" x14ac:dyDescent="0.25">
      <c r="A118" s="13" t="s">
        <v>78</v>
      </c>
      <c r="B118" s="9" t="str">
        <f t="shared" si="13"/>
        <v>Finalidad del (de los) proyecto(s)</v>
      </c>
      <c r="D118" s="78" t="s">
        <v>2617</v>
      </c>
      <c r="E118" s="79" t="s">
        <v>2618</v>
      </c>
      <c r="F118" s="80" t="s">
        <v>2619</v>
      </c>
      <c r="G118" s="80" t="s">
        <v>2620</v>
      </c>
      <c r="H118" s="79" t="s">
        <v>2621</v>
      </c>
      <c r="I118" s="48" t="s">
        <v>492</v>
      </c>
      <c r="J118" s="79" t="s">
        <v>3217</v>
      </c>
      <c r="K118" s="79" t="s">
        <v>3218</v>
      </c>
      <c r="L118" s="79" t="s">
        <v>3219</v>
      </c>
      <c r="M118" s="79" t="s">
        <v>3220</v>
      </c>
      <c r="N118" s="79"/>
      <c r="O118" s="79" t="s">
        <v>3221</v>
      </c>
      <c r="P118" s="79" t="s">
        <v>3222</v>
      </c>
      <c r="Q118" s="79" t="s">
        <v>3223</v>
      </c>
      <c r="R118" s="79" t="s">
        <v>3224</v>
      </c>
      <c r="S118" s="79" t="s">
        <v>3225</v>
      </c>
      <c r="T118" s="79" t="s">
        <v>3226</v>
      </c>
      <c r="U118" s="79" t="s">
        <v>3227</v>
      </c>
      <c r="V118" s="80" t="s">
        <v>3228</v>
      </c>
      <c r="W118" s="79" t="s">
        <v>3229</v>
      </c>
      <c r="X118" s="79" t="s">
        <v>3230</v>
      </c>
      <c r="Y118" s="79" t="s">
        <v>3231</v>
      </c>
      <c r="Z118" s="79" t="s">
        <v>3232</v>
      </c>
      <c r="AA118" s="79" t="s">
        <v>3233</v>
      </c>
      <c r="AB118" s="81" t="s">
        <v>3234</v>
      </c>
    </row>
    <row r="119" spans="1:28" x14ac:dyDescent="0.25">
      <c r="A119" s="13" t="s">
        <v>79</v>
      </c>
      <c r="B119" s="9" t="str">
        <f t="shared" si="13"/>
        <v>Investigación básica</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25">
      <c r="A120" s="13" t="s">
        <v>80</v>
      </c>
      <c r="B120" s="9" t="str">
        <f t="shared" si="13"/>
        <v>Investigación traslacional y aplicada</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25">
      <c r="A121" s="13" t="s">
        <v>81</v>
      </c>
      <c r="B121" s="9" t="str">
        <f t="shared" si="13"/>
        <v>Utilización reglamentaria: Control de calidad (incluidos los ensayos de seguridad y potencia de los lotes)</v>
      </c>
      <c r="D121" s="78" t="s">
        <v>2622</v>
      </c>
      <c r="E121" s="79" t="s">
        <v>2623</v>
      </c>
      <c r="F121" s="80" t="s">
        <v>2624</v>
      </c>
      <c r="G121" s="80" t="s">
        <v>2625</v>
      </c>
      <c r="H121" s="79" t="s">
        <v>2626</v>
      </c>
      <c r="I121" s="48" t="s">
        <v>93</v>
      </c>
      <c r="J121" s="79" t="s">
        <v>3235</v>
      </c>
      <c r="K121" s="79" t="s">
        <v>3236</v>
      </c>
      <c r="L121" s="79" t="s">
        <v>3237</v>
      </c>
      <c r="M121" s="79" t="s">
        <v>3238</v>
      </c>
      <c r="N121" s="79"/>
      <c r="O121" s="79" t="s">
        <v>3239</v>
      </c>
      <c r="P121" s="79" t="s">
        <v>3240</v>
      </c>
      <c r="Q121" s="79" t="s">
        <v>3241</v>
      </c>
      <c r="R121" s="79" t="s">
        <v>3242</v>
      </c>
      <c r="S121" s="79" t="s">
        <v>3243</v>
      </c>
      <c r="T121" s="79" t="s">
        <v>3244</v>
      </c>
      <c r="U121" s="79" t="s">
        <v>3245</v>
      </c>
      <c r="V121" s="80" t="s">
        <v>3246</v>
      </c>
      <c r="W121" s="79" t="s">
        <v>3247</v>
      </c>
      <c r="X121" s="79" t="s">
        <v>3248</v>
      </c>
      <c r="Y121" s="79" t="s">
        <v>3249</v>
      </c>
      <c r="Z121" s="79" t="s">
        <v>3250</v>
      </c>
      <c r="AA121" s="79" t="s">
        <v>3251</v>
      </c>
      <c r="AB121" s="81" t="s">
        <v>3252</v>
      </c>
    </row>
    <row r="122" spans="1:28" x14ac:dyDescent="0.25">
      <c r="A122" s="13" t="s">
        <v>82</v>
      </c>
      <c r="B122" s="9" t="str">
        <f t="shared" si="13"/>
        <v>Utilización reglamentaria: Otros ensayos de eficacia y tolerancia</v>
      </c>
      <c r="D122" s="78" t="s">
        <v>2627</v>
      </c>
      <c r="E122" s="79" t="s">
        <v>2628</v>
      </c>
      <c r="F122" s="80" t="s">
        <v>2629</v>
      </c>
      <c r="G122" s="80" t="s">
        <v>2630</v>
      </c>
      <c r="H122" s="79" t="s">
        <v>2631</v>
      </c>
      <c r="I122" s="48" t="s">
        <v>94</v>
      </c>
      <c r="J122" s="79" t="s">
        <v>3253</v>
      </c>
      <c r="K122" s="79" t="s">
        <v>3254</v>
      </c>
      <c r="L122" s="79" t="s">
        <v>3255</v>
      </c>
      <c r="M122" s="79" t="s">
        <v>3256</v>
      </c>
      <c r="N122" s="79"/>
      <c r="O122" s="79" t="s">
        <v>3257</v>
      </c>
      <c r="P122" s="79" t="s">
        <v>3258</v>
      </c>
      <c r="Q122" s="79" t="s">
        <v>3259</v>
      </c>
      <c r="R122" s="79" t="s">
        <v>3260</v>
      </c>
      <c r="S122" s="79" t="s">
        <v>3261</v>
      </c>
      <c r="T122" s="79" t="s">
        <v>3262</v>
      </c>
      <c r="U122" s="79" t="s">
        <v>3263</v>
      </c>
      <c r="V122" s="80" t="s">
        <v>3264</v>
      </c>
      <c r="W122" s="79" t="s">
        <v>3265</v>
      </c>
      <c r="X122" s="79" t="s">
        <v>3266</v>
      </c>
      <c r="Y122" s="79" t="s">
        <v>3267</v>
      </c>
      <c r="Z122" s="79" t="s">
        <v>3268</v>
      </c>
      <c r="AA122" s="79" t="s">
        <v>3269</v>
      </c>
      <c r="AB122" s="81" t="s">
        <v>3270</v>
      </c>
    </row>
    <row r="123" spans="1:28" x14ac:dyDescent="0.25">
      <c r="A123" s="13" t="s">
        <v>83</v>
      </c>
      <c r="B123" s="9" t="str">
        <f t="shared" si="13"/>
        <v>Utilización reglamentaria: Ensayos de toxicidad y otros ensayos de seguridad, incluida la farmacología</v>
      </c>
      <c r="D123" s="78" t="s">
        <v>2632</v>
      </c>
      <c r="E123" s="79" t="s">
        <v>2633</v>
      </c>
      <c r="F123" s="80" t="s">
        <v>2634</v>
      </c>
      <c r="G123" s="80" t="s">
        <v>2635</v>
      </c>
      <c r="H123" s="79" t="s">
        <v>2636</v>
      </c>
      <c r="I123" s="48" t="s">
        <v>95</v>
      </c>
      <c r="J123" s="79" t="s">
        <v>3271</v>
      </c>
      <c r="K123" s="79" t="s">
        <v>3272</v>
      </c>
      <c r="L123" s="79" t="s">
        <v>3273</v>
      </c>
      <c r="M123" s="79" t="s">
        <v>3274</v>
      </c>
      <c r="N123" s="79"/>
      <c r="O123" s="79" t="s">
        <v>3275</v>
      </c>
      <c r="P123" s="79" t="s">
        <v>3276</v>
      </c>
      <c r="Q123" s="79" t="s">
        <v>3277</v>
      </c>
      <c r="R123" s="79" t="s">
        <v>3278</v>
      </c>
      <c r="S123" s="79" t="s">
        <v>3279</v>
      </c>
      <c r="T123" s="79" t="s">
        <v>3280</v>
      </c>
      <c r="U123" s="79" t="s">
        <v>3281</v>
      </c>
      <c r="V123" s="80" t="s">
        <v>3282</v>
      </c>
      <c r="W123" s="79" t="s">
        <v>3283</v>
      </c>
      <c r="X123" s="79" t="s">
        <v>3284</v>
      </c>
      <c r="Y123" s="79" t="s">
        <v>3285</v>
      </c>
      <c r="Z123" s="79" t="s">
        <v>3286</v>
      </c>
      <c r="AA123" s="79" t="s">
        <v>3287</v>
      </c>
      <c r="AB123" s="81" t="s">
        <v>3288</v>
      </c>
    </row>
    <row r="124" spans="1:28" x14ac:dyDescent="0.25">
      <c r="A124" s="13" t="s">
        <v>84</v>
      </c>
      <c r="B124" s="9" t="str">
        <f t="shared" si="13"/>
        <v>Producción rutinaria</v>
      </c>
      <c r="D124" s="78" t="s">
        <v>2637</v>
      </c>
      <c r="E124" s="79" t="s">
        <v>2638</v>
      </c>
      <c r="F124" s="80" t="s">
        <v>2639</v>
      </c>
      <c r="G124" s="80" t="s">
        <v>2640</v>
      </c>
      <c r="H124" s="79" t="s">
        <v>2641</v>
      </c>
      <c r="I124" s="48" t="s">
        <v>96</v>
      </c>
      <c r="J124" s="79" t="s">
        <v>3289</v>
      </c>
      <c r="K124" s="79" t="s">
        <v>3290</v>
      </c>
      <c r="L124" s="79" t="s">
        <v>3291</v>
      </c>
      <c r="M124" s="79" t="s">
        <v>3292</v>
      </c>
      <c r="N124" s="79"/>
      <c r="O124" s="79" t="s">
        <v>3293</v>
      </c>
      <c r="P124" s="79" t="s">
        <v>3294</v>
      </c>
      <c r="Q124" s="79" t="s">
        <v>3295</v>
      </c>
      <c r="R124" s="79" t="s">
        <v>3296</v>
      </c>
      <c r="S124" s="79" t="s">
        <v>3297</v>
      </c>
      <c r="T124" s="79" t="s">
        <v>3298</v>
      </c>
      <c r="U124" s="79" t="s">
        <v>3299</v>
      </c>
      <c r="V124" s="80" t="s">
        <v>3300</v>
      </c>
      <c r="W124" s="79" t="s">
        <v>3301</v>
      </c>
      <c r="X124" s="79" t="s">
        <v>3302</v>
      </c>
      <c r="Y124" s="79" t="s">
        <v>3303</v>
      </c>
      <c r="Z124" s="79" t="s">
        <v>3304</v>
      </c>
      <c r="AA124" s="79" t="s">
        <v>3305</v>
      </c>
      <c r="AB124" s="81" t="s">
        <v>3306</v>
      </c>
    </row>
    <row r="125" spans="1:28" x14ac:dyDescent="0.25">
      <c r="A125" s="13" t="s">
        <v>85</v>
      </c>
      <c r="B125" s="9" t="str">
        <f t="shared" si="13"/>
        <v>Protección del entorno natural en interés de la salud o del bienestar de los seres humanos o de los animales</v>
      </c>
      <c r="D125" s="78" t="s">
        <v>580</v>
      </c>
      <c r="E125" s="79" t="s">
        <v>581</v>
      </c>
      <c r="F125" s="80" t="s">
        <v>582</v>
      </c>
      <c r="G125" s="80" t="s">
        <v>583</v>
      </c>
      <c r="H125" s="79" t="s">
        <v>584</v>
      </c>
      <c r="I125" s="48" t="s">
        <v>97</v>
      </c>
      <c r="J125" s="79" t="s">
        <v>3307</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25">
      <c r="A126" s="13" t="s">
        <v>86</v>
      </c>
      <c r="B126" s="9" t="str">
        <f t="shared" si="13"/>
        <v>Preservación de especies</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25">
      <c r="A127" s="13" t="s">
        <v>87</v>
      </c>
      <c r="B127" s="9" t="str">
        <f t="shared" si="13"/>
        <v>Educación postsecundaria</v>
      </c>
      <c r="D127" s="78" t="s">
        <v>590</v>
      </c>
      <c r="E127" s="79" t="s">
        <v>591</v>
      </c>
      <c r="F127" s="80" t="s">
        <v>592</v>
      </c>
      <c r="G127" s="80" t="s">
        <v>593</v>
      </c>
      <c r="H127" s="79" t="s">
        <v>594</v>
      </c>
      <c r="I127" s="48" t="s">
        <v>99</v>
      </c>
      <c r="J127" s="79" t="s">
        <v>3308</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25">
      <c r="A128" s="13" t="s">
        <v>88</v>
      </c>
      <c r="B128" s="9" t="str">
        <f t="shared" si="13"/>
        <v>Formación</v>
      </c>
      <c r="D128" s="78" t="s">
        <v>2642</v>
      </c>
      <c r="E128" s="79" t="s">
        <v>2643</v>
      </c>
      <c r="F128" s="80" t="s">
        <v>2644</v>
      </c>
      <c r="G128" s="80" t="s">
        <v>2645</v>
      </c>
      <c r="H128" s="79" t="s">
        <v>2646</v>
      </c>
      <c r="I128" s="48" t="s">
        <v>100</v>
      </c>
      <c r="J128" s="79" t="s">
        <v>3309</v>
      </c>
      <c r="K128" s="79" t="s">
        <v>3310</v>
      </c>
      <c r="L128" s="79" t="s">
        <v>3311</v>
      </c>
      <c r="M128" s="79" t="s">
        <v>3312</v>
      </c>
      <c r="N128" s="79"/>
      <c r="O128" s="79" t="s">
        <v>3313</v>
      </c>
      <c r="P128" s="79" t="s">
        <v>3314</v>
      </c>
      <c r="Q128" s="79" t="s">
        <v>3315</v>
      </c>
      <c r="R128" s="79" t="s">
        <v>3316</v>
      </c>
      <c r="S128" s="79" t="s">
        <v>3317</v>
      </c>
      <c r="T128" s="79" t="s">
        <v>3318</v>
      </c>
      <c r="U128" s="79" t="s">
        <v>3319</v>
      </c>
      <c r="V128" s="80" t="s">
        <v>3320</v>
      </c>
      <c r="W128" s="79" t="s">
        <v>3321</v>
      </c>
      <c r="X128" s="79" t="s">
        <v>3322</v>
      </c>
      <c r="Y128" s="79" t="s">
        <v>3323</v>
      </c>
      <c r="Z128" s="79" t="s">
        <v>3324</v>
      </c>
      <c r="AA128" s="79" t="s">
        <v>3325</v>
      </c>
      <c r="AB128" s="81" t="s">
        <v>3326</v>
      </c>
    </row>
    <row r="129" spans="1:28" x14ac:dyDescent="0.25">
      <c r="A129" s="13" t="s">
        <v>89</v>
      </c>
      <c r="B129" s="9" t="str">
        <f t="shared" si="13"/>
        <v>Investigaciones forenses</v>
      </c>
      <c r="D129" s="78" t="s">
        <v>600</v>
      </c>
      <c r="E129" s="79" t="s">
        <v>601</v>
      </c>
      <c r="F129" s="80" t="s">
        <v>602</v>
      </c>
      <c r="G129" s="80" t="s">
        <v>603</v>
      </c>
      <c r="H129" s="79" t="s">
        <v>604</v>
      </c>
      <c r="I129" s="48" t="s">
        <v>101</v>
      </c>
      <c r="J129" s="79" t="s">
        <v>3327</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25">
      <c r="A130" s="13" t="s">
        <v>90</v>
      </c>
      <c r="B130" s="9" t="str">
        <f t="shared" si="13"/>
        <v>Mantenimiento de colonias de animales genéticamente alterados no utilizados en otros procedimientos</v>
      </c>
      <c r="D130" s="78" t="s">
        <v>2647</v>
      </c>
      <c r="E130" s="79" t="s">
        <v>2648</v>
      </c>
      <c r="F130" s="80" t="s">
        <v>2649</v>
      </c>
      <c r="G130" s="80" t="s">
        <v>2650</v>
      </c>
      <c r="H130" s="79" t="s">
        <v>2651</v>
      </c>
      <c r="I130" s="48" t="s">
        <v>102</v>
      </c>
      <c r="J130" s="79" t="s">
        <v>3328</v>
      </c>
      <c r="K130" s="79" t="s">
        <v>3329</v>
      </c>
      <c r="L130" s="79" t="s">
        <v>3330</v>
      </c>
      <c r="M130" s="79" t="s">
        <v>3331</v>
      </c>
      <c r="N130" s="79"/>
      <c r="O130" s="79" t="s">
        <v>3332</v>
      </c>
      <c r="P130" s="79" t="s">
        <v>3333</v>
      </c>
      <c r="Q130" s="79" t="s">
        <v>3334</v>
      </c>
      <c r="R130" s="79" t="s">
        <v>3335</v>
      </c>
      <c r="S130" s="79" t="s">
        <v>3336</v>
      </c>
      <c r="T130" s="79" t="s">
        <v>3337</v>
      </c>
      <c r="U130" s="79" t="s">
        <v>3338</v>
      </c>
      <c r="V130" s="80" t="s">
        <v>3339</v>
      </c>
      <c r="W130" s="79" t="s">
        <v>3340</v>
      </c>
      <c r="X130" s="79" t="s">
        <v>3341</v>
      </c>
      <c r="Y130" s="79" t="s">
        <v>3342</v>
      </c>
      <c r="Z130" s="79" t="s">
        <v>3343</v>
      </c>
      <c r="AA130" s="79" t="s">
        <v>3344</v>
      </c>
      <c r="AB130" s="81" t="s">
        <v>3345</v>
      </c>
    </row>
    <row r="131" spans="1:28" x14ac:dyDescent="0.25">
      <c r="A131" s="13" t="s">
        <v>106</v>
      </c>
      <c r="B131" s="9" t="str">
        <f t="shared" si="13"/>
        <v>RESUMEN NO TÉCNICO DEL PROYECTO</v>
      </c>
      <c r="D131" s="78" t="s">
        <v>2652</v>
      </c>
      <c r="E131" s="79" t="s">
        <v>2653</v>
      </c>
      <c r="F131" s="80" t="s">
        <v>2654</v>
      </c>
      <c r="G131" s="80" t="s">
        <v>2655</v>
      </c>
      <c r="H131" s="79" t="s">
        <v>2656</v>
      </c>
      <c r="I131" s="48" t="s">
        <v>105</v>
      </c>
      <c r="J131" s="79" t="s">
        <v>3346</v>
      </c>
      <c r="K131" s="79" t="s">
        <v>3347</v>
      </c>
      <c r="L131" s="79" t="s">
        <v>3348</v>
      </c>
      <c r="M131" s="79" t="s">
        <v>3349</v>
      </c>
      <c r="N131" s="79"/>
      <c r="O131" s="79" t="s">
        <v>3350</v>
      </c>
      <c r="P131" s="79" t="s">
        <v>3351</v>
      </c>
      <c r="Q131" s="79" t="s">
        <v>3352</v>
      </c>
      <c r="R131" s="79" t="s">
        <v>3353</v>
      </c>
      <c r="S131" s="79" t="s">
        <v>3354</v>
      </c>
      <c r="T131" s="79" t="s">
        <v>3355</v>
      </c>
      <c r="U131" s="79" t="s">
        <v>3356</v>
      </c>
      <c r="V131" s="80" t="s">
        <v>3357</v>
      </c>
      <c r="W131" s="79" t="s">
        <v>3358</v>
      </c>
      <c r="X131" s="79" t="s">
        <v>3359</v>
      </c>
      <c r="Y131" s="79" t="s">
        <v>3360</v>
      </c>
      <c r="Z131" s="79" t="s">
        <v>3361</v>
      </c>
      <c r="AA131" s="79" t="s">
        <v>3362</v>
      </c>
      <c r="AB131" s="81" t="s">
        <v>3363</v>
      </c>
    </row>
    <row r="132" spans="1:28" x14ac:dyDescent="0.25">
      <c r="A132" s="9" t="s">
        <v>108</v>
      </c>
      <c r="B132" s="9" t="str">
        <f t="shared" si="13"/>
        <v>Debe elegirse al menos una finalidad.</v>
      </c>
      <c r="D132" s="78" t="s">
        <v>2657</v>
      </c>
      <c r="E132" s="79" t="s">
        <v>2658</v>
      </c>
      <c r="F132" s="80" t="s">
        <v>2659</v>
      </c>
      <c r="G132" s="80" t="s">
        <v>2660</v>
      </c>
      <c r="H132" s="79" t="s">
        <v>2661</v>
      </c>
      <c r="I132" s="61" t="s">
        <v>355</v>
      </c>
      <c r="J132" s="79" t="s">
        <v>3364</v>
      </c>
      <c r="K132" s="79" t="s">
        <v>3365</v>
      </c>
      <c r="L132" s="79" t="s">
        <v>3366</v>
      </c>
      <c r="M132" s="79" t="s">
        <v>3367</v>
      </c>
      <c r="N132" s="79"/>
      <c r="O132" s="79" t="s">
        <v>3368</v>
      </c>
      <c r="P132" s="79" t="s">
        <v>3369</v>
      </c>
      <c r="Q132" s="79" t="s">
        <v>3370</v>
      </c>
      <c r="R132" s="79" t="s">
        <v>3371</v>
      </c>
      <c r="S132" s="79" t="s">
        <v>3372</v>
      </c>
      <c r="T132" s="79" t="s">
        <v>3373</v>
      </c>
      <c r="U132" s="79" t="s">
        <v>3374</v>
      </c>
      <c r="V132" s="80" t="s">
        <v>3375</v>
      </c>
      <c r="W132" s="79" t="s">
        <v>3376</v>
      </c>
      <c r="X132" s="79" t="s">
        <v>3377</v>
      </c>
      <c r="Y132" s="79" t="s">
        <v>3378</v>
      </c>
      <c r="Z132" s="79" t="s">
        <v>3379</v>
      </c>
      <c r="AA132" s="79" t="s">
        <v>3380</v>
      </c>
      <c r="AB132" s="81" t="s">
        <v>3381</v>
      </c>
    </row>
    <row r="133" spans="1:28" x14ac:dyDescent="0.25">
      <c r="A133" s="9" t="s">
        <v>107</v>
      </c>
      <c r="B133" s="9" t="str">
        <f t="shared" si="13"/>
        <v>Debe introducirse al menos una palabra clave.</v>
      </c>
      <c r="D133" s="78" t="s">
        <v>2662</v>
      </c>
      <c r="E133" s="79" t="s">
        <v>2663</v>
      </c>
      <c r="F133" s="80" t="s">
        <v>2664</v>
      </c>
      <c r="G133" s="80" t="s">
        <v>2665</v>
      </c>
      <c r="H133" s="79" t="s">
        <v>2666</v>
      </c>
      <c r="I133" s="48" t="s">
        <v>354</v>
      </c>
      <c r="J133" s="79" t="s">
        <v>3382</v>
      </c>
      <c r="K133" s="79" t="s">
        <v>3383</v>
      </c>
      <c r="L133" s="79" t="s">
        <v>3384</v>
      </c>
      <c r="M133" s="79" t="s">
        <v>3385</v>
      </c>
      <c r="N133" s="79"/>
      <c r="O133" s="79" t="s">
        <v>3386</v>
      </c>
      <c r="P133" s="79" t="s">
        <v>3387</v>
      </c>
      <c r="Q133" s="79" t="s">
        <v>3388</v>
      </c>
      <c r="R133" s="79" t="s">
        <v>3389</v>
      </c>
      <c r="S133" s="79" t="s">
        <v>3390</v>
      </c>
      <c r="T133" s="79" t="s">
        <v>3391</v>
      </c>
      <c r="U133" s="79" t="s">
        <v>3392</v>
      </c>
      <c r="V133" s="80" t="s">
        <v>3393</v>
      </c>
      <c r="W133" s="79" t="s">
        <v>3394</v>
      </c>
      <c r="X133" s="79" t="s">
        <v>3395</v>
      </c>
      <c r="Y133" s="79" t="s">
        <v>3396</v>
      </c>
      <c r="Z133" s="79" t="s">
        <v>3397</v>
      </c>
      <c r="AA133" s="79" t="s">
        <v>3398</v>
      </c>
      <c r="AB133" s="81" t="s">
        <v>3399</v>
      </c>
    </row>
    <row r="134" spans="1:28" x14ac:dyDescent="0.25">
      <c r="A134" s="9" t="s">
        <v>109</v>
      </c>
      <c r="B134" s="9" t="str">
        <f t="shared" si="13"/>
        <v>Objetivos y beneficios previstos del proyecto</v>
      </c>
      <c r="D134" s="78" t="s">
        <v>2667</v>
      </c>
      <c r="E134" s="79" t="s">
        <v>2668</v>
      </c>
      <c r="F134" s="80" t="s">
        <v>2669</v>
      </c>
      <c r="G134" s="80" t="s">
        <v>2670</v>
      </c>
      <c r="H134" s="79" t="s">
        <v>2671</v>
      </c>
      <c r="I134" s="62" t="s">
        <v>103</v>
      </c>
      <c r="J134" s="79" t="s">
        <v>3400</v>
      </c>
      <c r="K134" s="79" t="s">
        <v>3401</v>
      </c>
      <c r="L134" s="79" t="s">
        <v>3402</v>
      </c>
      <c r="M134" s="79" t="s">
        <v>3403</v>
      </c>
      <c r="N134" s="79"/>
      <c r="O134" s="79" t="s">
        <v>3404</v>
      </c>
      <c r="P134" s="79" t="s">
        <v>3405</v>
      </c>
      <c r="Q134" s="79" t="s">
        <v>3406</v>
      </c>
      <c r="R134" s="79" t="s">
        <v>3407</v>
      </c>
      <c r="S134" s="79" t="s">
        <v>3408</v>
      </c>
      <c r="T134" s="79" t="s">
        <v>3409</v>
      </c>
      <c r="U134" s="79" t="s">
        <v>3410</v>
      </c>
      <c r="V134" s="80" t="s">
        <v>3411</v>
      </c>
      <c r="W134" s="79" t="s">
        <v>3412</v>
      </c>
      <c r="X134" s="79" t="s">
        <v>3413</v>
      </c>
      <c r="Y134" s="79" t="s">
        <v>3414</v>
      </c>
      <c r="Z134" s="79" t="s">
        <v>3415</v>
      </c>
      <c r="AA134" s="79" t="s">
        <v>3416</v>
      </c>
      <c r="AB134" s="81" t="s">
        <v>3417</v>
      </c>
    </row>
    <row r="135" spans="1:28" x14ac:dyDescent="0.25">
      <c r="A135" s="9" t="s">
        <v>110</v>
      </c>
      <c r="B135" s="9" t="str">
        <f t="shared" si="13"/>
        <v>Objetivos del proyecto</v>
      </c>
      <c r="D135" s="78" t="s">
        <v>2672</v>
      </c>
      <c r="E135" s="79" t="s">
        <v>2673</v>
      </c>
      <c r="F135" s="80" t="s">
        <v>2674</v>
      </c>
      <c r="G135" s="80" t="s">
        <v>2675</v>
      </c>
      <c r="H135" s="79" t="s">
        <v>2676</v>
      </c>
      <c r="I135" s="61" t="s">
        <v>104</v>
      </c>
      <c r="J135" s="79" t="s">
        <v>3418</v>
      </c>
      <c r="K135" s="79" t="s">
        <v>3419</v>
      </c>
      <c r="L135" s="79" t="s">
        <v>3420</v>
      </c>
      <c r="M135" s="79" t="s">
        <v>3421</v>
      </c>
      <c r="N135" s="79"/>
      <c r="O135" s="79" t="s">
        <v>3422</v>
      </c>
      <c r="P135" s="79" t="s">
        <v>3423</v>
      </c>
      <c r="Q135" s="79" t="s">
        <v>3424</v>
      </c>
      <c r="R135" s="79" t="s">
        <v>3425</v>
      </c>
      <c r="S135" s="79" t="s">
        <v>3426</v>
      </c>
      <c r="T135" s="79" t="s">
        <v>3427</v>
      </c>
      <c r="U135" s="79" t="s">
        <v>3428</v>
      </c>
      <c r="V135" s="80" t="s">
        <v>3429</v>
      </c>
      <c r="W135" s="79" t="s">
        <v>3430</v>
      </c>
      <c r="X135" s="79" t="s">
        <v>3431</v>
      </c>
      <c r="Y135" s="79" t="s">
        <v>3432</v>
      </c>
      <c r="Z135" s="79" t="s">
        <v>3433</v>
      </c>
      <c r="AA135" s="79" t="s">
        <v>3434</v>
      </c>
      <c r="AB135" s="81" t="s">
        <v>3435</v>
      </c>
    </row>
    <row r="136" spans="1:28" x14ac:dyDescent="0.25">
      <c r="A136" s="9" t="s">
        <v>112</v>
      </c>
      <c r="B136" s="9" t="str">
        <f t="shared" si="13"/>
        <v>Probables beneficios potenciales de este proyecto</v>
      </c>
      <c r="D136" s="78" t="s">
        <v>2677</v>
      </c>
      <c r="E136" s="79" t="s">
        <v>2678</v>
      </c>
      <c r="F136" s="80" t="s">
        <v>2679</v>
      </c>
      <c r="G136" s="80" t="s">
        <v>2680</v>
      </c>
      <c r="H136" s="79" t="s">
        <v>2681</v>
      </c>
      <c r="I136" s="61" t="s">
        <v>111</v>
      </c>
      <c r="J136" s="79" t="s">
        <v>3436</v>
      </c>
      <c r="K136" s="79" t="s">
        <v>3437</v>
      </c>
      <c r="L136" s="79" t="s">
        <v>3438</v>
      </c>
      <c r="M136" s="79" t="s">
        <v>3439</v>
      </c>
      <c r="N136" s="79"/>
      <c r="O136" s="79" t="s">
        <v>3440</v>
      </c>
      <c r="P136" s="79" t="s">
        <v>3441</v>
      </c>
      <c r="Q136" s="79" t="s">
        <v>3442</v>
      </c>
      <c r="R136" s="79" t="s">
        <v>3443</v>
      </c>
      <c r="S136" s="79" t="s">
        <v>3444</v>
      </c>
      <c r="T136" s="79" t="s">
        <v>3445</v>
      </c>
      <c r="U136" s="79" t="s">
        <v>3446</v>
      </c>
      <c r="V136" s="80" t="s">
        <v>3447</v>
      </c>
      <c r="W136" s="79" t="s">
        <v>3448</v>
      </c>
      <c r="X136" s="79" t="s">
        <v>3449</v>
      </c>
      <c r="Y136" s="79" t="s">
        <v>3450</v>
      </c>
      <c r="Z136" s="79" t="s">
        <v>3451</v>
      </c>
      <c r="AA136" s="79" t="s">
        <v>3452</v>
      </c>
      <c r="AB136" s="81" t="s">
        <v>3453</v>
      </c>
    </row>
    <row r="137" spans="1:28" x14ac:dyDescent="0.25">
      <c r="A137" s="9" t="s">
        <v>114</v>
      </c>
      <c r="B137" s="9" t="str">
        <f t="shared" si="13"/>
        <v>Daños previstos</v>
      </c>
      <c r="D137" s="78" t="s">
        <v>2682</v>
      </c>
      <c r="E137" s="79" t="s">
        <v>2683</v>
      </c>
      <c r="F137" s="80" t="s">
        <v>2684</v>
      </c>
      <c r="G137" s="80" t="s">
        <v>2685</v>
      </c>
      <c r="H137" s="79" t="s">
        <v>2686</v>
      </c>
      <c r="I137" s="61" t="s">
        <v>113</v>
      </c>
      <c r="J137" s="79" t="s">
        <v>3454</v>
      </c>
      <c r="K137" s="79" t="s">
        <v>3455</v>
      </c>
      <c r="L137" s="79" t="s">
        <v>3456</v>
      </c>
      <c r="M137" s="79" t="s">
        <v>3457</v>
      </c>
      <c r="N137" s="79"/>
      <c r="O137" s="79" t="s">
        <v>3458</v>
      </c>
      <c r="P137" s="79" t="s">
        <v>3459</v>
      </c>
      <c r="Q137" s="79" t="s">
        <v>3460</v>
      </c>
      <c r="R137" s="79" t="s">
        <v>3461</v>
      </c>
      <c r="S137" s="79" t="s">
        <v>3462</v>
      </c>
      <c r="T137" s="79" t="s">
        <v>3463</v>
      </c>
      <c r="U137" s="79" t="s">
        <v>3464</v>
      </c>
      <c r="V137" s="80" t="s">
        <v>3465</v>
      </c>
      <c r="W137" s="79" t="s">
        <v>3466</v>
      </c>
      <c r="X137" s="79" t="s">
        <v>3467</v>
      </c>
      <c r="Y137" s="79" t="s">
        <v>3468</v>
      </c>
      <c r="Z137" s="79" t="s">
        <v>3469</v>
      </c>
      <c r="AA137" s="79" t="s">
        <v>3470</v>
      </c>
      <c r="AB137" s="81" t="s">
        <v>3471</v>
      </c>
    </row>
    <row r="138" spans="1:28" x14ac:dyDescent="0.25">
      <c r="A138" s="9" t="s">
        <v>116</v>
      </c>
      <c r="B138" s="9" t="str">
        <f t="shared" si="13"/>
        <v>¿En qué procedimientos se utilizarán normalmente los animales?</v>
      </c>
      <c r="D138" s="78" t="s">
        <v>2687</v>
      </c>
      <c r="E138" s="79" t="s">
        <v>2688</v>
      </c>
      <c r="F138" s="80" t="s">
        <v>2689</v>
      </c>
      <c r="G138" s="80" t="s">
        <v>2690</v>
      </c>
      <c r="H138" s="79" t="s">
        <v>2691</v>
      </c>
      <c r="I138" s="63" t="s">
        <v>115</v>
      </c>
      <c r="J138" s="79" t="s">
        <v>3472</v>
      </c>
      <c r="K138" s="79" t="s">
        <v>3473</v>
      </c>
      <c r="L138" s="79" t="s">
        <v>3474</v>
      </c>
      <c r="M138" s="79" t="s">
        <v>3475</v>
      </c>
      <c r="N138" s="79"/>
      <c r="O138" s="79" t="s">
        <v>3476</v>
      </c>
      <c r="P138" s="79" t="s">
        <v>3477</v>
      </c>
      <c r="Q138" s="79" t="s">
        <v>3478</v>
      </c>
      <c r="R138" s="79" t="s">
        <v>3479</v>
      </c>
      <c r="S138" s="79" t="s">
        <v>3480</v>
      </c>
      <c r="T138" s="79" t="s">
        <v>3481</v>
      </c>
      <c r="U138" s="79" t="s">
        <v>3482</v>
      </c>
      <c r="V138" s="80" t="s">
        <v>3483</v>
      </c>
      <c r="W138" s="79" t="s">
        <v>3484</v>
      </c>
      <c r="X138" s="79" t="s">
        <v>3485</v>
      </c>
      <c r="Y138" s="79" t="s">
        <v>3486</v>
      </c>
      <c r="Z138" s="79" t="s">
        <v>3487</v>
      </c>
      <c r="AA138" s="79" t="s">
        <v>3488</v>
      </c>
      <c r="AB138" s="81" t="s">
        <v>3489</v>
      </c>
    </row>
    <row r="139" spans="1:28" x14ac:dyDescent="0.25">
      <c r="A139" s="9" t="s">
        <v>118</v>
      </c>
      <c r="B139" s="9" t="str">
        <f t="shared" si="13"/>
        <v>Efectos previstos/efectos adversos en los animales</v>
      </c>
      <c r="D139" s="78" t="s">
        <v>2692</v>
      </c>
      <c r="E139" s="79" t="s">
        <v>2693</v>
      </c>
      <c r="F139" s="80" t="s">
        <v>2694</v>
      </c>
      <c r="G139" s="80" t="s">
        <v>2695</v>
      </c>
      <c r="H139" s="79" t="s">
        <v>2696</v>
      </c>
      <c r="I139" s="61" t="s">
        <v>117</v>
      </c>
      <c r="J139" s="79" t="s">
        <v>3490</v>
      </c>
      <c r="K139" s="79" t="s">
        <v>3491</v>
      </c>
      <c r="L139" s="79" t="s">
        <v>3492</v>
      </c>
      <c r="M139" s="79" t="s">
        <v>3493</v>
      </c>
      <c r="N139" s="79"/>
      <c r="O139" s="79" t="s">
        <v>3494</v>
      </c>
      <c r="P139" s="79" t="s">
        <v>3495</v>
      </c>
      <c r="Q139" s="79" t="s">
        <v>3496</v>
      </c>
      <c r="R139" s="79" t="s">
        <v>3497</v>
      </c>
      <c r="S139" s="79" t="s">
        <v>3498</v>
      </c>
      <c r="T139" s="79" t="s">
        <v>3499</v>
      </c>
      <c r="U139" s="79" t="s">
        <v>3500</v>
      </c>
      <c r="V139" s="80" t="s">
        <v>3501</v>
      </c>
      <c r="W139" s="79" t="s">
        <v>3502</v>
      </c>
      <c r="X139" s="79" t="s">
        <v>3503</v>
      </c>
      <c r="Y139" s="79" t="s">
        <v>3504</v>
      </c>
      <c r="Z139" s="79" t="s">
        <v>3505</v>
      </c>
      <c r="AA139" s="79" t="s">
        <v>3506</v>
      </c>
      <c r="AB139" s="81" t="s">
        <v>3507</v>
      </c>
    </row>
    <row r="140" spans="1:28" x14ac:dyDescent="0.25">
      <c r="A140" s="9" t="s">
        <v>347</v>
      </c>
      <c r="B140" s="9" t="str">
        <f t="shared" si="13"/>
        <v>Daños previstos</v>
      </c>
      <c r="D140" s="78" t="s">
        <v>2697</v>
      </c>
      <c r="E140" s="79" t="s">
        <v>2698</v>
      </c>
      <c r="F140" s="80" t="s">
        <v>2684</v>
      </c>
      <c r="G140" s="80" t="s">
        <v>2699</v>
      </c>
      <c r="H140" s="79" t="s">
        <v>2686</v>
      </c>
      <c r="I140" s="61" t="s">
        <v>348</v>
      </c>
      <c r="J140" s="79" t="s">
        <v>3454</v>
      </c>
      <c r="K140" s="79" t="s">
        <v>3455</v>
      </c>
      <c r="L140" s="79" t="s">
        <v>3508</v>
      </c>
      <c r="M140" s="79" t="s">
        <v>3509</v>
      </c>
      <c r="N140" s="79"/>
      <c r="O140" s="79" t="s">
        <v>3510</v>
      </c>
      <c r="P140" s="79" t="s">
        <v>3459</v>
      </c>
      <c r="Q140" s="79" t="s">
        <v>3511</v>
      </c>
      <c r="R140" s="79" t="s">
        <v>3512</v>
      </c>
      <c r="S140" s="79" t="s">
        <v>3513</v>
      </c>
      <c r="T140" s="79" t="s">
        <v>3514</v>
      </c>
      <c r="U140" s="79" t="s">
        <v>3515</v>
      </c>
      <c r="V140" s="80" t="s">
        <v>3516</v>
      </c>
      <c r="W140" s="79" t="s">
        <v>3517</v>
      </c>
      <c r="X140" s="79" t="s">
        <v>3518</v>
      </c>
      <c r="Y140" s="79" t="s">
        <v>3519</v>
      </c>
      <c r="Z140" s="79" t="s">
        <v>3520</v>
      </c>
      <c r="AA140" s="79" t="s">
        <v>3521</v>
      </c>
      <c r="AB140" s="81" t="s">
        <v>3522</v>
      </c>
    </row>
    <row r="141" spans="1:28" x14ac:dyDescent="0.25">
      <c r="A141" s="9" t="s">
        <v>119</v>
      </c>
      <c r="B141" s="9" t="str">
        <f t="shared" si="13"/>
        <v>Destino de los animales mantenidos vivos</v>
      </c>
      <c r="D141" s="78" t="s">
        <v>2700</v>
      </c>
      <c r="E141" s="79" t="s">
        <v>2701</v>
      </c>
      <c r="F141" s="80" t="s">
        <v>2702</v>
      </c>
      <c r="G141" s="80" t="s">
        <v>2703</v>
      </c>
      <c r="H141" s="79" t="s">
        <v>2704</v>
      </c>
      <c r="I141" s="61" t="s">
        <v>120</v>
      </c>
      <c r="J141" s="79" t="s">
        <v>3523</v>
      </c>
      <c r="K141" s="79" t="s">
        <v>3524</v>
      </c>
      <c r="L141" s="79" t="s">
        <v>3525</v>
      </c>
      <c r="M141" s="79" t="s">
        <v>3526</v>
      </c>
      <c r="N141" s="79"/>
      <c r="O141" s="79" t="s">
        <v>3527</v>
      </c>
      <c r="P141" s="79" t="s">
        <v>3528</v>
      </c>
      <c r="Q141" s="79" t="s">
        <v>3529</v>
      </c>
      <c r="R141" s="79" t="s">
        <v>3530</v>
      </c>
      <c r="S141" s="79" t="s">
        <v>3531</v>
      </c>
      <c r="T141" s="79" t="s">
        <v>3532</v>
      </c>
      <c r="U141" s="79" t="s">
        <v>3533</v>
      </c>
      <c r="V141" s="80" t="s">
        <v>3534</v>
      </c>
      <c r="W141" s="79" t="s">
        <v>3535</v>
      </c>
      <c r="X141" s="79" t="s">
        <v>3536</v>
      </c>
      <c r="Y141" s="79" t="s">
        <v>3537</v>
      </c>
      <c r="Z141" s="79" t="s">
        <v>3538</v>
      </c>
      <c r="AA141" s="79" t="s">
        <v>3539</v>
      </c>
      <c r="AB141" s="81" t="s">
        <v>3540</v>
      </c>
    </row>
    <row r="142" spans="1:28" x14ac:dyDescent="0.25">
      <c r="A142" s="9" t="s">
        <v>122</v>
      </c>
      <c r="B142" s="9" t="str">
        <f t="shared" ref="B142:B225" si="14">IF(TRIM(HLOOKUP(language_or_default,textTranslations,MATCH(A142,text,0),FALSE))="",HLOOKUP("en",textTranslations,MATCH(A142,text,0),FALSE),HLOOKUP(language_or_default,textTranslations,MATCH(A142,text,0),FALSE))</f>
        <v>Motivos del destino previsto de los animales después del procedimiento</v>
      </c>
      <c r="D142" s="78" t="s">
        <v>2705</v>
      </c>
      <c r="E142" s="79" t="s">
        <v>2706</v>
      </c>
      <c r="F142" s="80" t="s">
        <v>2707</v>
      </c>
      <c r="G142" s="80" t="s">
        <v>2708</v>
      </c>
      <c r="H142" s="79" t="s">
        <v>2709</v>
      </c>
      <c r="I142" s="63" t="s">
        <v>121</v>
      </c>
      <c r="J142" s="79" t="s">
        <v>3541</v>
      </c>
      <c r="K142" s="79" t="s">
        <v>3542</v>
      </c>
      <c r="L142" s="79" t="s">
        <v>3543</v>
      </c>
      <c r="M142" s="79" t="s">
        <v>3544</v>
      </c>
      <c r="N142" s="79"/>
      <c r="O142" s="79" t="s">
        <v>3545</v>
      </c>
      <c r="P142" s="79" t="s">
        <v>3546</v>
      </c>
      <c r="Q142" s="79" t="s">
        <v>3547</v>
      </c>
      <c r="R142" s="79" t="s">
        <v>3548</v>
      </c>
      <c r="S142" s="79" t="s">
        <v>3549</v>
      </c>
      <c r="T142" s="79" t="s">
        <v>3550</v>
      </c>
      <c r="U142" s="79" t="s">
        <v>3551</v>
      </c>
      <c r="V142" s="80" t="s">
        <v>3552</v>
      </c>
      <c r="W142" s="79" t="s">
        <v>3553</v>
      </c>
      <c r="X142" s="79" t="s">
        <v>3554</v>
      </c>
      <c r="Y142" s="79" t="s">
        <v>3555</v>
      </c>
      <c r="Z142" s="79" t="s">
        <v>3556</v>
      </c>
      <c r="AA142" s="79" t="s">
        <v>3557</v>
      </c>
      <c r="AB142" s="81" t="s">
        <v>3558</v>
      </c>
    </row>
    <row r="143" spans="1:28" x14ac:dyDescent="0.25">
      <c r="A143" s="9" t="s">
        <v>124</v>
      </c>
      <c r="B143" s="9" t="str">
        <f t="shared" si="14"/>
        <v>Aplicación de la regla de las «tres erres»</v>
      </c>
      <c r="D143" s="78" t="s">
        <v>2710</v>
      </c>
      <c r="E143" s="79" t="s">
        <v>2711</v>
      </c>
      <c r="F143" s="80" t="s">
        <v>2712</v>
      </c>
      <c r="G143" s="80" t="s">
        <v>2713</v>
      </c>
      <c r="H143" s="79" t="s">
        <v>2714</v>
      </c>
      <c r="I143" s="61" t="s">
        <v>123</v>
      </c>
      <c r="J143" s="79" t="s">
        <v>3559</v>
      </c>
      <c r="K143" s="79" t="s">
        <v>3560</v>
      </c>
      <c r="L143" s="79" t="s">
        <v>3561</v>
      </c>
      <c r="M143" s="79" t="s">
        <v>3562</v>
      </c>
      <c r="N143" s="79"/>
      <c r="O143" s="79" t="s">
        <v>3563</v>
      </c>
      <c r="P143" s="79" t="s">
        <v>3564</v>
      </c>
      <c r="Q143" s="79" t="s">
        <v>3565</v>
      </c>
      <c r="R143" s="79" t="s">
        <v>3566</v>
      </c>
      <c r="S143" s="79" t="s">
        <v>3567</v>
      </c>
      <c r="T143" s="79" t="s">
        <v>3568</v>
      </c>
      <c r="U143" s="79" t="s">
        <v>3569</v>
      </c>
      <c r="V143" s="80" t="s">
        <v>3570</v>
      </c>
      <c r="W143" s="79" t="s">
        <v>3571</v>
      </c>
      <c r="X143" s="79" t="s">
        <v>3572</v>
      </c>
      <c r="Y143" s="79" t="s">
        <v>3573</v>
      </c>
      <c r="Z143" s="79" t="s">
        <v>3574</v>
      </c>
      <c r="AA143" s="79" t="s">
        <v>3575</v>
      </c>
      <c r="AB143" s="81" t="s">
        <v>3576</v>
      </c>
    </row>
    <row r="144" spans="1:28" x14ac:dyDescent="0.25">
      <c r="A144" s="9" t="s">
        <v>126</v>
      </c>
      <c r="B144" s="9" t="str">
        <f t="shared" si="14"/>
        <v>1. Reemplazo</v>
      </c>
      <c r="D144" s="78" t="s">
        <v>2715</v>
      </c>
      <c r="E144" s="79" t="s">
        <v>2716</v>
      </c>
      <c r="F144" s="80" t="s">
        <v>2717</v>
      </c>
      <c r="G144" s="80" t="s">
        <v>2718</v>
      </c>
      <c r="H144" s="79" t="s">
        <v>2719</v>
      </c>
      <c r="I144" s="61" t="s">
        <v>125</v>
      </c>
      <c r="J144" s="79" t="s">
        <v>3577</v>
      </c>
      <c r="K144" s="79" t="s">
        <v>3578</v>
      </c>
      <c r="L144" s="79" t="s">
        <v>3579</v>
      </c>
      <c r="M144" s="79" t="s">
        <v>3580</v>
      </c>
      <c r="N144" s="79"/>
      <c r="O144" s="79" t="s">
        <v>3581</v>
      </c>
      <c r="P144" s="79" t="s">
        <v>3582</v>
      </c>
      <c r="Q144" s="79" t="s">
        <v>3583</v>
      </c>
      <c r="R144" s="79" t="s">
        <v>3584</v>
      </c>
      <c r="S144" s="79" t="s">
        <v>3585</v>
      </c>
      <c r="T144" s="79" t="s">
        <v>3586</v>
      </c>
      <c r="U144" s="79" t="s">
        <v>3587</v>
      </c>
      <c r="V144" s="80" t="s">
        <v>3588</v>
      </c>
      <c r="W144" s="79" t="s">
        <v>3589</v>
      </c>
      <c r="X144" s="79" t="s">
        <v>3590</v>
      </c>
      <c r="Y144" s="79" t="s">
        <v>3591</v>
      </c>
      <c r="Z144" s="79" t="s">
        <v>3592</v>
      </c>
      <c r="AA144" s="79" t="s">
        <v>3593</v>
      </c>
      <c r="AB144" s="81" t="s">
        <v>3594</v>
      </c>
    </row>
    <row r="145" spans="1:28" x14ac:dyDescent="0.25">
      <c r="A145" s="9" t="s">
        <v>128</v>
      </c>
      <c r="B145" s="9" t="str">
        <f t="shared" si="14"/>
        <v>2. Reducción</v>
      </c>
      <c r="D145" s="78" t="s">
        <v>2720</v>
      </c>
      <c r="E145" s="79" t="s">
        <v>2721</v>
      </c>
      <c r="F145" s="80" t="s">
        <v>2722</v>
      </c>
      <c r="G145" s="80" t="s">
        <v>2723</v>
      </c>
      <c r="H145" s="79" t="s">
        <v>2724</v>
      </c>
      <c r="I145" s="61" t="s">
        <v>127</v>
      </c>
      <c r="J145" s="79" t="s">
        <v>3595</v>
      </c>
      <c r="K145" s="79" t="s">
        <v>3596</v>
      </c>
      <c r="L145" s="79" t="s">
        <v>3597</v>
      </c>
      <c r="M145" s="79" t="s">
        <v>3598</v>
      </c>
      <c r="N145" s="79"/>
      <c r="O145" s="79" t="s">
        <v>3599</v>
      </c>
      <c r="P145" s="79" t="s">
        <v>3600</v>
      </c>
      <c r="Q145" s="79" t="s">
        <v>3601</v>
      </c>
      <c r="R145" s="79" t="s">
        <v>3602</v>
      </c>
      <c r="S145" s="79" t="s">
        <v>3603</v>
      </c>
      <c r="T145" s="79" t="s">
        <v>3604</v>
      </c>
      <c r="U145" s="79" t="s">
        <v>3605</v>
      </c>
      <c r="V145" s="80" t="s">
        <v>3606</v>
      </c>
      <c r="W145" s="79" t="s">
        <v>3607</v>
      </c>
      <c r="X145" s="79" t="s">
        <v>3608</v>
      </c>
      <c r="Y145" s="79" t="s">
        <v>3609</v>
      </c>
      <c r="Z145" s="79" t="s">
        <v>3610</v>
      </c>
      <c r="AA145" s="79" t="s">
        <v>3611</v>
      </c>
      <c r="AB145" s="81" t="s">
        <v>3612</v>
      </c>
    </row>
    <row r="146" spans="1:28" x14ac:dyDescent="0.25">
      <c r="A146" s="9" t="s">
        <v>130</v>
      </c>
      <c r="B146" s="9" t="str">
        <f t="shared" si="14"/>
        <v>3. Refinamiento</v>
      </c>
      <c r="D146" s="78" t="s">
        <v>2725</v>
      </c>
      <c r="E146" s="79" t="s">
        <v>2726</v>
      </c>
      <c r="F146" s="80" t="s">
        <v>2727</v>
      </c>
      <c r="G146" s="80" t="s">
        <v>2728</v>
      </c>
      <c r="H146" s="79" t="s">
        <v>2729</v>
      </c>
      <c r="I146" s="61" t="s">
        <v>129</v>
      </c>
      <c r="J146" s="79" t="s">
        <v>3613</v>
      </c>
      <c r="K146" s="79" t="s">
        <v>3614</v>
      </c>
      <c r="L146" s="79" t="s">
        <v>3615</v>
      </c>
      <c r="M146" s="79" t="s">
        <v>3616</v>
      </c>
      <c r="N146" s="79"/>
      <c r="O146" s="79" t="s">
        <v>3617</v>
      </c>
      <c r="P146" s="79" t="s">
        <v>3618</v>
      </c>
      <c r="Q146" s="79" t="s">
        <v>3619</v>
      </c>
      <c r="R146" s="79" t="s">
        <v>3620</v>
      </c>
      <c r="S146" s="79" t="s">
        <v>3621</v>
      </c>
      <c r="T146" s="79" t="s">
        <v>3622</v>
      </c>
      <c r="U146" s="79" t="s">
        <v>3623</v>
      </c>
      <c r="V146" s="80" t="s">
        <v>3624</v>
      </c>
      <c r="W146" s="79" t="s">
        <v>3625</v>
      </c>
      <c r="X146" s="79" t="s">
        <v>3626</v>
      </c>
      <c r="Y146" s="79" t="s">
        <v>3627</v>
      </c>
      <c r="Z146" s="79" t="s">
        <v>3628</v>
      </c>
      <c r="AA146" s="79" t="s">
        <v>3629</v>
      </c>
      <c r="AB146" s="81" t="s">
        <v>3630</v>
      </c>
    </row>
    <row r="147" spans="1:28" x14ac:dyDescent="0.25">
      <c r="A147" s="9" t="s">
        <v>132</v>
      </c>
      <c r="B147" s="9" t="str">
        <f t="shared" si="14"/>
        <v>Explique la elección de las especies y las etapas de vida correspondientes</v>
      </c>
      <c r="D147" s="90" t="s">
        <v>2730</v>
      </c>
      <c r="E147" s="91" t="s">
        <v>2731</v>
      </c>
      <c r="F147" s="92" t="s">
        <v>2732</v>
      </c>
      <c r="G147" s="92" t="s">
        <v>2733</v>
      </c>
      <c r="H147" s="91" t="s">
        <v>2734</v>
      </c>
      <c r="I147" s="63" t="s">
        <v>131</v>
      </c>
      <c r="J147" s="91" t="s">
        <v>3631</v>
      </c>
      <c r="K147" s="91" t="s">
        <v>3632</v>
      </c>
      <c r="L147" s="91" t="s">
        <v>3633</v>
      </c>
      <c r="M147" s="91" t="s">
        <v>3634</v>
      </c>
      <c r="N147" s="79"/>
      <c r="O147" s="91" t="s">
        <v>3635</v>
      </c>
      <c r="P147" s="91" t="s">
        <v>3636</v>
      </c>
      <c r="Q147" s="91" t="s">
        <v>3637</v>
      </c>
      <c r="R147" s="91" t="s">
        <v>3638</v>
      </c>
      <c r="S147" s="91" t="s">
        <v>3639</v>
      </c>
      <c r="T147" s="91" t="s">
        <v>3640</v>
      </c>
      <c r="U147" s="91" t="s">
        <v>3641</v>
      </c>
      <c r="V147" s="92" t="s">
        <v>3642</v>
      </c>
      <c r="W147" s="91" t="s">
        <v>3643</v>
      </c>
      <c r="X147" s="91" t="s">
        <v>3644</v>
      </c>
      <c r="Y147" s="91" t="s">
        <v>3645</v>
      </c>
      <c r="Z147" s="91" t="s">
        <v>3646</v>
      </c>
      <c r="AA147" s="91" t="s">
        <v>3647</v>
      </c>
      <c r="AB147" s="81" t="s">
        <v>3648</v>
      </c>
    </row>
    <row r="148" spans="1:28" x14ac:dyDescent="0.25">
      <c r="A148" s="9" t="s">
        <v>134</v>
      </c>
      <c r="B148" s="9" t="str">
        <f t="shared" si="14"/>
        <v>Proyecto seleccionado para la evaluación retrospectiva</v>
      </c>
      <c r="D148" s="78" t="s">
        <v>2735</v>
      </c>
      <c r="E148" s="79" t="s">
        <v>2736</v>
      </c>
      <c r="F148" s="80" t="s">
        <v>2737</v>
      </c>
      <c r="G148" s="80" t="s">
        <v>2738</v>
      </c>
      <c r="H148" s="79" t="s">
        <v>2739</v>
      </c>
      <c r="I148" s="61" t="s">
        <v>133</v>
      </c>
      <c r="J148" s="79" t="s">
        <v>3649</v>
      </c>
      <c r="K148" s="79" t="s">
        <v>3650</v>
      </c>
      <c r="L148" s="79" t="s">
        <v>3651</v>
      </c>
      <c r="M148" s="79" t="s">
        <v>3652</v>
      </c>
      <c r="N148" s="79"/>
      <c r="O148" s="79" t="s">
        <v>3653</v>
      </c>
      <c r="P148" s="79" t="s">
        <v>3654</v>
      </c>
      <c r="Q148" s="79" t="s">
        <v>3655</v>
      </c>
      <c r="R148" s="79" t="s">
        <v>3656</v>
      </c>
      <c r="S148" s="79" t="s">
        <v>3657</v>
      </c>
      <c r="T148" s="79" t="s">
        <v>3658</v>
      </c>
      <c r="U148" s="79" t="s">
        <v>3659</v>
      </c>
      <c r="V148" s="80" t="s">
        <v>3660</v>
      </c>
      <c r="W148" s="79" t="s">
        <v>3661</v>
      </c>
      <c r="X148" s="79" t="s">
        <v>3662</v>
      </c>
      <c r="Y148" s="79" t="s">
        <v>3663</v>
      </c>
      <c r="Z148" s="79" t="s">
        <v>3664</v>
      </c>
      <c r="AA148" s="79" t="s">
        <v>3665</v>
      </c>
      <c r="AB148" s="81" t="s">
        <v>3666</v>
      </c>
    </row>
    <row r="149" spans="1:28" x14ac:dyDescent="0.25">
      <c r="A149" s="9" t="s">
        <v>135</v>
      </c>
      <c r="B149" s="9" t="str">
        <f t="shared" si="14"/>
        <v>¿Proyecto seleccionado para la ER?</v>
      </c>
      <c r="D149" s="78" t="s">
        <v>2740</v>
      </c>
      <c r="E149" s="79" t="s">
        <v>2741</v>
      </c>
      <c r="F149" s="80" t="s">
        <v>2742</v>
      </c>
      <c r="G149" s="80" t="s">
        <v>2743</v>
      </c>
      <c r="H149" s="79" t="s">
        <v>2744</v>
      </c>
      <c r="I149" s="61" t="s">
        <v>136</v>
      </c>
      <c r="J149" s="79" t="s">
        <v>3667</v>
      </c>
      <c r="K149" s="79" t="s">
        <v>3668</v>
      </c>
      <c r="L149" s="79" t="s">
        <v>3669</v>
      </c>
      <c r="M149" s="79" t="s">
        <v>3670</v>
      </c>
      <c r="N149" s="79"/>
      <c r="O149" s="79" t="s">
        <v>3671</v>
      </c>
      <c r="P149" s="79" t="s">
        <v>3672</v>
      </c>
      <c r="Q149" s="79" t="s">
        <v>3673</v>
      </c>
      <c r="R149" s="79" t="s">
        <v>3674</v>
      </c>
      <c r="S149" s="79" t="s">
        <v>3675</v>
      </c>
      <c r="T149" s="79" t="s">
        <v>3676</v>
      </c>
      <c r="U149" s="79" t="s">
        <v>3677</v>
      </c>
      <c r="V149" s="80" t="s">
        <v>3678</v>
      </c>
      <c r="W149" s="79" t="s">
        <v>3679</v>
      </c>
      <c r="X149" s="79" t="s">
        <v>3680</v>
      </c>
      <c r="Y149" s="79" t="s">
        <v>3681</v>
      </c>
      <c r="Z149" s="79" t="s">
        <v>3682</v>
      </c>
      <c r="AA149" s="79" t="s">
        <v>3683</v>
      </c>
      <c r="AB149" s="81" t="s">
        <v>3684</v>
      </c>
    </row>
    <row r="150" spans="1:28" x14ac:dyDescent="0.25">
      <c r="A150" s="9" t="s">
        <v>138</v>
      </c>
      <c r="B150" s="9" t="str">
        <f t="shared" si="14"/>
        <v>Plazo para la ER</v>
      </c>
      <c r="D150" s="78" t="s">
        <v>2745</v>
      </c>
      <c r="E150" s="79" t="s">
        <v>2746</v>
      </c>
      <c r="F150" s="80" t="s">
        <v>2747</v>
      </c>
      <c r="G150" s="80" t="s">
        <v>2748</v>
      </c>
      <c r="H150" s="79" t="s">
        <v>2749</v>
      </c>
      <c r="I150" s="61" t="s">
        <v>137</v>
      </c>
      <c r="J150" s="79" t="s">
        <v>3685</v>
      </c>
      <c r="K150" s="79" t="s">
        <v>3686</v>
      </c>
      <c r="L150" s="79" t="s">
        <v>3687</v>
      </c>
      <c r="M150" s="79" t="s">
        <v>3688</v>
      </c>
      <c r="N150" s="79"/>
      <c r="O150" s="79" t="s">
        <v>3689</v>
      </c>
      <c r="P150" s="79" t="s">
        <v>3690</v>
      </c>
      <c r="Q150" s="79" t="s">
        <v>3691</v>
      </c>
      <c r="R150" s="79" t="s">
        <v>3692</v>
      </c>
      <c r="S150" s="79" t="s">
        <v>3693</v>
      </c>
      <c r="T150" s="79" t="s">
        <v>3694</v>
      </c>
      <c r="U150" s="79" t="s">
        <v>3695</v>
      </c>
      <c r="V150" s="80" t="s">
        <v>3696</v>
      </c>
      <c r="W150" s="79" t="s">
        <v>3697</v>
      </c>
      <c r="X150" s="79" t="s">
        <v>3698</v>
      </c>
      <c r="Y150" s="79" t="s">
        <v>3699</v>
      </c>
      <c r="Z150" s="79" t="s">
        <v>3700</v>
      </c>
      <c r="AA150" s="79" t="s">
        <v>3701</v>
      </c>
      <c r="AB150" s="81" t="s">
        <v>3702</v>
      </c>
    </row>
    <row r="151" spans="1:28" x14ac:dyDescent="0.25">
      <c r="A151" s="9" t="s">
        <v>140</v>
      </c>
      <c r="B151" s="9" t="str">
        <f t="shared" si="14"/>
        <v>Motivos de la evaluación retrospectiva</v>
      </c>
      <c r="D151" s="78" t="s">
        <v>2750</v>
      </c>
      <c r="E151" s="79" t="s">
        <v>2751</v>
      </c>
      <c r="F151" s="80" t="s">
        <v>2752</v>
      </c>
      <c r="G151" s="80" t="s">
        <v>2753</v>
      </c>
      <c r="H151" s="79" t="s">
        <v>2754</v>
      </c>
      <c r="I151" s="63" t="s">
        <v>139</v>
      </c>
      <c r="J151" s="79" t="s">
        <v>3703</v>
      </c>
      <c r="K151" s="79" t="s">
        <v>3704</v>
      </c>
      <c r="L151" s="79" t="s">
        <v>3705</v>
      </c>
      <c r="M151" s="79" t="s">
        <v>3706</v>
      </c>
      <c r="N151" s="79"/>
      <c r="O151" s="79" t="s">
        <v>3707</v>
      </c>
      <c r="P151" s="79" t="s">
        <v>3708</v>
      </c>
      <c r="Q151" s="79" t="s">
        <v>3709</v>
      </c>
      <c r="R151" s="79" t="s">
        <v>3710</v>
      </c>
      <c r="S151" s="79" t="s">
        <v>3711</v>
      </c>
      <c r="T151" s="79" t="s">
        <v>3712</v>
      </c>
      <c r="U151" s="79" t="s">
        <v>3713</v>
      </c>
      <c r="V151" s="80" t="s">
        <v>3714</v>
      </c>
      <c r="W151" s="79" t="s">
        <v>3715</v>
      </c>
      <c r="X151" s="79" t="s">
        <v>3716</v>
      </c>
      <c r="Y151" s="79" t="s">
        <v>3717</v>
      </c>
      <c r="Z151" s="79" t="s">
        <v>3718</v>
      </c>
      <c r="AA151" s="79" t="s">
        <v>3719</v>
      </c>
      <c r="AB151" s="81" t="s">
        <v>3720</v>
      </c>
    </row>
    <row r="152" spans="1:28" x14ac:dyDescent="0.25">
      <c r="A152" s="27" t="s">
        <v>141</v>
      </c>
      <c r="B152" s="9" t="str">
        <f t="shared" si="14"/>
        <v>Incluye procedimientos severos</v>
      </c>
      <c r="D152" s="78" t="s">
        <v>2755</v>
      </c>
      <c r="E152" s="79" t="s">
        <v>2756</v>
      </c>
      <c r="F152" s="80" t="s">
        <v>2757</v>
      </c>
      <c r="G152" s="80" t="s">
        <v>2758</v>
      </c>
      <c r="H152" s="79" t="s">
        <v>2759</v>
      </c>
      <c r="I152" s="61" t="s">
        <v>145</v>
      </c>
      <c r="J152" s="79" t="s">
        <v>3721</v>
      </c>
      <c r="K152" s="79" t="s">
        <v>3722</v>
      </c>
      <c r="L152" s="79" t="s">
        <v>3723</v>
      </c>
      <c r="M152" s="79" t="s">
        <v>3724</v>
      </c>
      <c r="N152" s="79"/>
      <c r="O152" s="79" t="s">
        <v>3725</v>
      </c>
      <c r="P152" s="79" t="s">
        <v>3726</v>
      </c>
      <c r="Q152" s="79" t="s">
        <v>3727</v>
      </c>
      <c r="R152" s="79" t="s">
        <v>3728</v>
      </c>
      <c r="S152" s="79" t="s">
        <v>3729</v>
      </c>
      <c r="T152" s="79" t="s">
        <v>3730</v>
      </c>
      <c r="U152" s="79" t="s">
        <v>3731</v>
      </c>
      <c r="V152" s="80" t="s">
        <v>3732</v>
      </c>
      <c r="W152" s="79" t="s">
        <v>3733</v>
      </c>
      <c r="X152" s="79" t="s">
        <v>3734</v>
      </c>
      <c r="Y152" s="79" t="s">
        <v>3735</v>
      </c>
      <c r="Z152" s="79" t="s">
        <v>3736</v>
      </c>
      <c r="AA152" s="79" t="s">
        <v>3737</v>
      </c>
      <c r="AB152" s="81" t="s">
        <v>3738</v>
      </c>
    </row>
    <row r="153" spans="1:28" x14ac:dyDescent="0.25">
      <c r="A153" s="27" t="s">
        <v>142</v>
      </c>
      <c r="B153" s="9" t="str">
        <f t="shared" si="14"/>
        <v>Utiliza primates no humanos</v>
      </c>
      <c r="D153" s="78" t="s">
        <v>2760</v>
      </c>
      <c r="E153" s="79" t="s">
        <v>2761</v>
      </c>
      <c r="F153" s="80" t="s">
        <v>2762</v>
      </c>
      <c r="G153" s="80" t="s">
        <v>2763</v>
      </c>
      <c r="H153" s="79" t="s">
        <v>2764</v>
      </c>
      <c r="I153" s="61" t="s">
        <v>146</v>
      </c>
      <c r="J153" s="79" t="s">
        <v>3739</v>
      </c>
      <c r="K153" s="79" t="s">
        <v>3740</v>
      </c>
      <c r="L153" s="79" t="s">
        <v>3741</v>
      </c>
      <c r="M153" s="79" t="s">
        <v>3742</v>
      </c>
      <c r="N153" s="79"/>
      <c r="O153" s="79" t="s">
        <v>3743</v>
      </c>
      <c r="P153" s="79" t="s">
        <v>3744</v>
      </c>
      <c r="Q153" s="79" t="s">
        <v>3745</v>
      </c>
      <c r="R153" s="79" t="s">
        <v>3746</v>
      </c>
      <c r="S153" s="79" t="s">
        <v>3747</v>
      </c>
      <c r="T153" s="79" t="s">
        <v>3748</v>
      </c>
      <c r="U153" s="79" t="s">
        <v>3749</v>
      </c>
      <c r="V153" s="80" t="s">
        <v>3750</v>
      </c>
      <c r="W153" s="79" t="s">
        <v>3751</v>
      </c>
      <c r="X153" s="79" t="s">
        <v>3752</v>
      </c>
      <c r="Y153" s="79" t="s">
        <v>3753</v>
      </c>
      <c r="Z153" s="79" t="s">
        <v>3754</v>
      </c>
      <c r="AA153" s="79" t="s">
        <v>3755</v>
      </c>
      <c r="AB153" s="81" t="s">
        <v>3756</v>
      </c>
    </row>
    <row r="154" spans="1:28" x14ac:dyDescent="0.25">
      <c r="A154" s="27" t="s">
        <v>143</v>
      </c>
      <c r="B154" s="9" t="str">
        <f t="shared" si="14"/>
        <v>Otros motivos</v>
      </c>
      <c r="D154" s="78" t="s">
        <v>2765</v>
      </c>
      <c r="E154" s="79" t="s">
        <v>2766</v>
      </c>
      <c r="F154" s="80" t="s">
        <v>2767</v>
      </c>
      <c r="G154" s="80" t="s">
        <v>2768</v>
      </c>
      <c r="H154" s="79" t="s">
        <v>2769</v>
      </c>
      <c r="I154" s="61" t="s">
        <v>147</v>
      </c>
      <c r="J154" s="79" t="s">
        <v>3757</v>
      </c>
      <c r="K154" s="79" t="s">
        <v>3758</v>
      </c>
      <c r="L154" s="79" t="s">
        <v>3759</v>
      </c>
      <c r="M154" s="79" t="s">
        <v>3760</v>
      </c>
      <c r="N154" s="79"/>
      <c r="O154" s="79" t="s">
        <v>3761</v>
      </c>
      <c r="P154" s="79" t="s">
        <v>3762</v>
      </c>
      <c r="Q154" s="79" t="s">
        <v>3763</v>
      </c>
      <c r="R154" s="79" t="s">
        <v>3764</v>
      </c>
      <c r="S154" s="79" t="s">
        <v>3765</v>
      </c>
      <c r="T154" s="79" t="s">
        <v>3766</v>
      </c>
      <c r="U154" s="79" t="s">
        <v>3767</v>
      </c>
      <c r="V154" s="80" t="s">
        <v>3768</v>
      </c>
      <c r="W154" s="79" t="s">
        <v>3769</v>
      </c>
      <c r="X154" s="79" t="s">
        <v>3770</v>
      </c>
      <c r="Y154" s="79" t="s">
        <v>3771</v>
      </c>
      <c r="Z154" s="79" t="s">
        <v>3772</v>
      </c>
      <c r="AA154" s="79" t="s">
        <v>3773</v>
      </c>
      <c r="AB154" s="81" t="s">
        <v>3774</v>
      </c>
    </row>
    <row r="155" spans="1:28" x14ac:dyDescent="0.25">
      <c r="A155" s="27" t="s">
        <v>144</v>
      </c>
      <c r="B155" s="9" t="str">
        <f t="shared" si="14"/>
        <v>Explicación del otro motivo de la evaluación retrospectiva</v>
      </c>
      <c r="D155" s="78" t="s">
        <v>2770</v>
      </c>
      <c r="E155" s="79" t="s">
        <v>2771</v>
      </c>
      <c r="F155" s="80" t="s">
        <v>2772</v>
      </c>
      <c r="G155" s="80" t="s">
        <v>2773</v>
      </c>
      <c r="H155" s="79" t="s">
        <v>2774</v>
      </c>
      <c r="I155" s="63" t="s">
        <v>148</v>
      </c>
      <c r="J155" s="79" t="s">
        <v>3775</v>
      </c>
      <c r="K155" s="79" t="s">
        <v>3776</v>
      </c>
      <c r="L155" s="79" t="s">
        <v>3777</v>
      </c>
      <c r="M155" s="79" t="s">
        <v>3778</v>
      </c>
      <c r="N155" s="79"/>
      <c r="O155" s="79" t="s">
        <v>3779</v>
      </c>
      <c r="P155" s="79" t="s">
        <v>3780</v>
      </c>
      <c r="Q155" s="79" t="s">
        <v>3781</v>
      </c>
      <c r="R155" s="79" t="s">
        <v>3782</v>
      </c>
      <c r="S155" s="79" t="s">
        <v>3783</v>
      </c>
      <c r="T155" s="79" t="s">
        <v>3784</v>
      </c>
      <c r="U155" s="79" t="s">
        <v>3785</v>
      </c>
      <c r="V155" s="80" t="s">
        <v>3786</v>
      </c>
      <c r="W155" s="79" t="s">
        <v>3787</v>
      </c>
      <c r="X155" s="79" t="s">
        <v>3788</v>
      </c>
      <c r="Y155" s="79" t="s">
        <v>3789</v>
      </c>
      <c r="Z155" s="79" t="s">
        <v>3790</v>
      </c>
      <c r="AA155" s="79" t="s">
        <v>3791</v>
      </c>
      <c r="AB155" s="81" t="s">
        <v>3792</v>
      </c>
    </row>
    <row r="156" spans="1:28" x14ac:dyDescent="0.25">
      <c r="A156" s="9" t="s">
        <v>149</v>
      </c>
      <c r="B156" s="9" t="str">
        <f t="shared" si="14"/>
        <v>Debe elegirse al menos un motivo.</v>
      </c>
      <c r="D156" s="78" t="s">
        <v>2775</v>
      </c>
      <c r="E156" s="79" t="s">
        <v>2658</v>
      </c>
      <c r="F156" s="80" t="s">
        <v>2776</v>
      </c>
      <c r="G156" s="80" t="s">
        <v>2777</v>
      </c>
      <c r="H156" s="79" t="s">
        <v>2778</v>
      </c>
      <c r="I156" s="61" t="s">
        <v>563</v>
      </c>
      <c r="J156" s="79" t="s">
        <v>3793</v>
      </c>
      <c r="K156" s="79" t="s">
        <v>3794</v>
      </c>
      <c r="L156" s="79" t="s">
        <v>3795</v>
      </c>
      <c r="M156" s="79" t="s">
        <v>3796</v>
      </c>
      <c r="N156" s="79"/>
      <c r="O156" s="79" t="s">
        <v>3797</v>
      </c>
      <c r="P156" s="79" t="s">
        <v>3798</v>
      </c>
      <c r="Q156" s="79" t="s">
        <v>3799</v>
      </c>
      <c r="R156" s="79" t="s">
        <v>3800</v>
      </c>
      <c r="S156" s="79" t="s">
        <v>3801</v>
      </c>
      <c r="T156" s="79" t="s">
        <v>3802</v>
      </c>
      <c r="U156" s="79" t="s">
        <v>3803</v>
      </c>
      <c r="V156" s="80" t="s">
        <v>3804</v>
      </c>
      <c r="W156" s="79" t="s">
        <v>3805</v>
      </c>
      <c r="X156" s="79" t="s">
        <v>3806</v>
      </c>
      <c r="Y156" s="79" t="s">
        <v>3807</v>
      </c>
      <c r="Z156" s="79" t="s">
        <v>3808</v>
      </c>
      <c r="AA156" s="79" t="s">
        <v>3809</v>
      </c>
      <c r="AB156" s="81" t="s">
        <v>3810</v>
      </c>
    </row>
    <row r="157" spans="1:28" x14ac:dyDescent="0.25">
      <c r="A157" s="27" t="s">
        <v>150</v>
      </c>
      <c r="B157" s="9" t="str">
        <f t="shared" si="14"/>
        <v>Valor incoherente</v>
      </c>
      <c r="D157" s="78" t="s">
        <v>2779</v>
      </c>
      <c r="E157" s="79" t="s">
        <v>2780</v>
      </c>
      <c r="F157" s="80" t="s">
        <v>2781</v>
      </c>
      <c r="G157" s="80" t="s">
        <v>2782</v>
      </c>
      <c r="H157" s="79" t="s">
        <v>2783</v>
      </c>
      <c r="I157" s="61" t="s">
        <v>151</v>
      </c>
      <c r="J157" s="79" t="s">
        <v>3811</v>
      </c>
      <c r="K157" s="79" t="s">
        <v>3812</v>
      </c>
      <c r="L157" s="79" t="s">
        <v>3813</v>
      </c>
      <c r="M157" s="79" t="s">
        <v>3814</v>
      </c>
      <c r="N157" s="79"/>
      <c r="O157" s="79" t="s">
        <v>3815</v>
      </c>
      <c r="P157" s="79" t="s">
        <v>3816</v>
      </c>
      <c r="Q157" s="79" t="s">
        <v>3817</v>
      </c>
      <c r="R157" s="79" t="s">
        <v>3818</v>
      </c>
      <c r="S157" s="79" t="s">
        <v>3819</v>
      </c>
      <c r="T157" s="79" t="s">
        <v>3820</v>
      </c>
      <c r="U157" s="79" t="s">
        <v>3821</v>
      </c>
      <c r="V157" s="80" t="s">
        <v>3822</v>
      </c>
      <c r="W157" s="79" t="s">
        <v>3823</v>
      </c>
      <c r="X157" s="79" t="s">
        <v>3824</v>
      </c>
      <c r="Y157" s="79" t="s">
        <v>3825</v>
      </c>
      <c r="Z157" s="79" t="s">
        <v>3826</v>
      </c>
      <c r="AA157" s="79" t="s">
        <v>3827</v>
      </c>
      <c r="AB157" s="81" t="s">
        <v>3828</v>
      </c>
    </row>
    <row r="158" spans="1:28" x14ac:dyDescent="0.25">
      <c r="A158" s="27" t="s">
        <v>364</v>
      </c>
      <c r="B158" s="9" t="str">
        <f t="shared" si="14"/>
        <v>Identificador nacional del RNT</v>
      </c>
      <c r="D158" s="78" t="s">
        <v>2784</v>
      </c>
      <c r="E158" s="79" t="s">
        <v>2785</v>
      </c>
      <c r="F158" s="80" t="s">
        <v>2786</v>
      </c>
      <c r="G158" s="80" t="s">
        <v>2787</v>
      </c>
      <c r="H158" s="79" t="s">
        <v>2788</v>
      </c>
      <c r="I158" s="61" t="s">
        <v>363</v>
      </c>
      <c r="J158" s="79" t="s">
        <v>3829</v>
      </c>
      <c r="K158" s="79" t="s">
        <v>3830</v>
      </c>
      <c r="L158" s="79" t="s">
        <v>3831</v>
      </c>
      <c r="M158" s="79" t="s">
        <v>3832</v>
      </c>
      <c r="N158" s="79"/>
      <c r="O158" s="79" t="s">
        <v>3833</v>
      </c>
      <c r="P158" s="79" t="s">
        <v>3834</v>
      </c>
      <c r="Q158" s="79" t="s">
        <v>3835</v>
      </c>
      <c r="R158" s="79" t="s">
        <v>3836</v>
      </c>
      <c r="S158" s="79" t="s">
        <v>3837</v>
      </c>
      <c r="T158" s="79" t="s">
        <v>3838</v>
      </c>
      <c r="U158" s="79" t="s">
        <v>3839</v>
      </c>
      <c r="V158" s="80" t="s">
        <v>3840</v>
      </c>
      <c r="W158" s="79" t="s">
        <v>3841</v>
      </c>
      <c r="X158" s="79" t="s">
        <v>3842</v>
      </c>
      <c r="Y158" s="79" t="s">
        <v>3843</v>
      </c>
      <c r="Z158" s="79" t="s">
        <v>3844</v>
      </c>
      <c r="AA158" s="79" t="s">
        <v>3845</v>
      </c>
      <c r="AB158" s="81" t="s">
        <v>3846</v>
      </c>
    </row>
    <row r="159" spans="1:28" x14ac:dyDescent="0.25">
      <c r="A159" s="27" t="s">
        <v>175</v>
      </c>
      <c r="B159" s="9" t="str">
        <f t="shared" ref="B159:B184" si="15">IF(TRIM(HLOOKUP(language_or_default,textTranslations,MATCH(A159,text,0),FALSE))="",HLOOKUP("en",textTranslations,MATCH(A159,text,0),FALSE),HLOOKUP(language_or_default,textTranslations,MATCH(A159,text,0),FALSE))</f>
        <v>No aplicable al país seleccionado.</v>
      </c>
      <c r="D159" s="78" t="s">
        <v>2789</v>
      </c>
      <c r="E159" s="79" t="s">
        <v>2790</v>
      </c>
      <c r="F159" s="80" t="s">
        <v>2791</v>
      </c>
      <c r="G159" s="80" t="s">
        <v>2792</v>
      </c>
      <c r="H159" s="79" t="s">
        <v>2793</v>
      </c>
      <c r="I159" s="61" t="s">
        <v>176</v>
      </c>
      <c r="J159" s="79" t="s">
        <v>3847</v>
      </c>
      <c r="K159" s="79" t="s">
        <v>3848</v>
      </c>
      <c r="L159" s="79" t="s">
        <v>3849</v>
      </c>
      <c r="M159" s="79" t="s">
        <v>3850</v>
      </c>
      <c r="N159" s="79"/>
      <c r="O159" s="79" t="s">
        <v>3851</v>
      </c>
      <c r="P159" s="79" t="s">
        <v>3852</v>
      </c>
      <c r="Q159" s="79" t="s">
        <v>3853</v>
      </c>
      <c r="R159" s="79" t="s">
        <v>3854</v>
      </c>
      <c r="S159" s="79" t="s">
        <v>3855</v>
      </c>
      <c r="T159" s="79" t="s">
        <v>3856</v>
      </c>
      <c r="U159" s="79" t="s">
        <v>3857</v>
      </c>
      <c r="V159" s="80" t="s">
        <v>3858</v>
      </c>
      <c r="W159" s="79" t="s">
        <v>3859</v>
      </c>
      <c r="X159" s="79" t="s">
        <v>3860</v>
      </c>
      <c r="Y159" s="79" t="s">
        <v>3861</v>
      </c>
      <c r="Z159" s="79" t="s">
        <v>3862</v>
      </c>
      <c r="AA159" s="79" t="s">
        <v>3863</v>
      </c>
      <c r="AB159" s="81" t="s">
        <v>3864</v>
      </c>
    </row>
    <row r="160" spans="1:28" x14ac:dyDescent="0.25">
      <c r="A160" s="27" t="s">
        <v>177</v>
      </c>
      <c r="B160" s="9" t="str">
        <f t="shared" si="15"/>
        <v>Pendiente de cumplimentación por la autoridad competente</v>
      </c>
      <c r="D160" s="78" t="s">
        <v>2794</v>
      </c>
      <c r="E160" s="79" t="s">
        <v>2795</v>
      </c>
      <c r="F160" s="80" t="s">
        <v>2796</v>
      </c>
      <c r="G160" s="80" t="s">
        <v>2797</v>
      </c>
      <c r="H160" s="79" t="s">
        <v>2798</v>
      </c>
      <c r="I160" s="61" t="s">
        <v>178</v>
      </c>
      <c r="J160" s="79" t="s">
        <v>3865</v>
      </c>
      <c r="K160" s="79" t="s">
        <v>3866</v>
      </c>
      <c r="L160" s="79" t="s">
        <v>3867</v>
      </c>
      <c r="M160" s="79" t="s">
        <v>3868</v>
      </c>
      <c r="N160" s="79"/>
      <c r="O160" s="79" t="s">
        <v>3869</v>
      </c>
      <c r="P160" s="79" t="s">
        <v>3870</v>
      </c>
      <c r="Q160" s="79" t="s">
        <v>3871</v>
      </c>
      <c r="R160" s="79" t="s">
        <v>3872</v>
      </c>
      <c r="S160" s="79" t="s">
        <v>3873</v>
      </c>
      <c r="T160" s="79" t="s">
        <v>3874</v>
      </c>
      <c r="U160" s="79" t="s">
        <v>3875</v>
      </c>
      <c r="V160" s="80" t="s">
        <v>3876</v>
      </c>
      <c r="W160" s="79" t="s">
        <v>3877</v>
      </c>
      <c r="X160" s="79" t="s">
        <v>3878</v>
      </c>
      <c r="Y160" s="79" t="s">
        <v>3879</v>
      </c>
      <c r="Z160" s="79" t="s">
        <v>3880</v>
      </c>
      <c r="AA160" s="79" t="s">
        <v>3881</v>
      </c>
      <c r="AB160" s="81" t="s">
        <v>3882</v>
      </c>
    </row>
    <row r="161" spans="1:28" x14ac:dyDescent="0.25">
      <c r="A161" s="27" t="s">
        <v>303</v>
      </c>
      <c r="B161" s="9" t="str">
        <f t="shared" si="15"/>
        <v>El número total debe ser superior a 0</v>
      </c>
      <c r="D161" s="78" t="s">
        <v>2799</v>
      </c>
      <c r="E161" s="79" t="s">
        <v>2800</v>
      </c>
      <c r="F161" s="80" t="s">
        <v>2801</v>
      </c>
      <c r="G161" s="80" t="s">
        <v>2802</v>
      </c>
      <c r="H161" s="79" t="s">
        <v>2803</v>
      </c>
      <c r="I161" s="61" t="s">
        <v>306</v>
      </c>
      <c r="J161" s="79" t="s">
        <v>3883</v>
      </c>
      <c r="K161" s="79" t="s">
        <v>3884</v>
      </c>
      <c r="L161" s="79" t="s">
        <v>3885</v>
      </c>
      <c r="M161" s="79" t="s">
        <v>3886</v>
      </c>
      <c r="N161" s="79"/>
      <c r="O161" s="79" t="s">
        <v>3887</v>
      </c>
      <c r="P161" s="79" t="s">
        <v>3888</v>
      </c>
      <c r="Q161" s="79" t="s">
        <v>3889</v>
      </c>
      <c r="R161" s="79" t="s">
        <v>3890</v>
      </c>
      <c r="S161" s="79" t="s">
        <v>3891</v>
      </c>
      <c r="T161" s="79" t="s">
        <v>3892</v>
      </c>
      <c r="U161" s="79" t="s">
        <v>3893</v>
      </c>
      <c r="V161" s="80" t="s">
        <v>3894</v>
      </c>
      <c r="W161" s="79" t="s">
        <v>3895</v>
      </c>
      <c r="X161" s="79" t="s">
        <v>3896</v>
      </c>
      <c r="Y161" s="79" t="s">
        <v>3897</v>
      </c>
      <c r="Z161" s="79" t="s">
        <v>3898</v>
      </c>
      <c r="AA161" s="79" t="s">
        <v>3899</v>
      </c>
      <c r="AB161" s="81" t="s">
        <v>3900</v>
      </c>
    </row>
    <row r="162" spans="1:28" x14ac:dyDescent="0.25">
      <c r="A162" s="27" t="s">
        <v>304</v>
      </c>
      <c r="B162" s="9" t="str">
        <f t="shared" si="15"/>
        <v>Debe seleccionarse la especie</v>
      </c>
      <c r="D162" s="78" t="s">
        <v>2804</v>
      </c>
      <c r="E162" s="79" t="s">
        <v>2805</v>
      </c>
      <c r="F162" s="80" t="s">
        <v>2806</v>
      </c>
      <c r="G162" s="80" t="s">
        <v>2807</v>
      </c>
      <c r="H162" s="79" t="s">
        <v>2808</v>
      </c>
      <c r="I162" s="61" t="s">
        <v>305</v>
      </c>
      <c r="J162" s="79" t="s">
        <v>3901</v>
      </c>
      <c r="K162" s="79" t="s">
        <v>3902</v>
      </c>
      <c r="L162" s="79" t="s">
        <v>3903</v>
      </c>
      <c r="M162" s="79" t="s">
        <v>3904</v>
      </c>
      <c r="N162" s="79"/>
      <c r="O162" s="79" t="s">
        <v>3905</v>
      </c>
      <c r="P162" s="79" t="s">
        <v>3906</v>
      </c>
      <c r="Q162" s="79" t="s">
        <v>3907</v>
      </c>
      <c r="R162" s="79" t="s">
        <v>3908</v>
      </c>
      <c r="S162" s="79" t="s">
        <v>3909</v>
      </c>
      <c r="T162" s="79" t="s">
        <v>3910</v>
      </c>
      <c r="U162" s="79" t="s">
        <v>3911</v>
      </c>
      <c r="V162" s="80" t="s">
        <v>3912</v>
      </c>
      <c r="W162" s="79" t="s">
        <v>3913</v>
      </c>
      <c r="X162" s="79" t="s">
        <v>3914</v>
      </c>
      <c r="Y162" s="79" t="s">
        <v>3915</v>
      </c>
      <c r="Z162" s="79" t="s">
        <v>3916</v>
      </c>
      <c r="AA162" s="79" t="s">
        <v>3917</v>
      </c>
      <c r="AB162" s="81" t="s">
        <v>3918</v>
      </c>
    </row>
    <row r="163" spans="1:28" x14ac:dyDescent="0.25">
      <c r="A163" s="27" t="s">
        <v>308</v>
      </c>
      <c r="B163" s="9" t="str">
        <f t="shared" si="15"/>
        <v>Al menos 1 fila</v>
      </c>
      <c r="D163" s="78" t="s">
        <v>2809</v>
      </c>
      <c r="E163" s="79" t="s">
        <v>2810</v>
      </c>
      <c r="F163" s="80" t="s">
        <v>2811</v>
      </c>
      <c r="G163" s="80" t="s">
        <v>2812</v>
      </c>
      <c r="H163" s="79" t="s">
        <v>2813</v>
      </c>
      <c r="I163" s="61" t="s">
        <v>307</v>
      </c>
      <c r="J163" s="79" t="s">
        <v>3919</v>
      </c>
      <c r="K163" s="79" t="s">
        <v>3920</v>
      </c>
      <c r="L163" s="79" t="s">
        <v>3921</v>
      </c>
      <c r="M163" s="79" t="s">
        <v>3922</v>
      </c>
      <c r="N163" s="79"/>
      <c r="O163" s="79" t="s">
        <v>3923</v>
      </c>
      <c r="P163" s="79" t="s">
        <v>3924</v>
      </c>
      <c r="Q163" s="79" t="s">
        <v>3925</v>
      </c>
      <c r="R163" s="79" t="s">
        <v>3926</v>
      </c>
      <c r="S163" s="79" t="s">
        <v>3927</v>
      </c>
      <c r="T163" s="79" t="s">
        <v>3928</v>
      </c>
      <c r="U163" s="79" t="s">
        <v>3929</v>
      </c>
      <c r="V163" s="80" t="s">
        <v>3930</v>
      </c>
      <c r="W163" s="79" t="s">
        <v>3931</v>
      </c>
      <c r="X163" s="79" t="s">
        <v>3932</v>
      </c>
      <c r="Y163" s="79" t="s">
        <v>3933</v>
      </c>
      <c r="Z163" s="79" t="s">
        <v>3934</v>
      </c>
      <c r="AA163" s="79" t="s">
        <v>3935</v>
      </c>
      <c r="AB163" s="81" t="s">
        <v>3936</v>
      </c>
    </row>
    <row r="164" spans="1:28" x14ac:dyDescent="0.25">
      <c r="A164" s="27" t="s">
        <v>309</v>
      </c>
      <c r="B164" s="9" t="str">
        <f t="shared" si="15"/>
        <v>Especie</v>
      </c>
      <c r="D164" s="78" t="s">
        <v>2814</v>
      </c>
      <c r="E164" s="79" t="s">
        <v>2815</v>
      </c>
      <c r="F164" s="80" t="s">
        <v>2816</v>
      </c>
      <c r="G164" s="80" t="s">
        <v>2816</v>
      </c>
      <c r="H164" s="79" t="s">
        <v>2817</v>
      </c>
      <c r="I164" s="61" t="s">
        <v>185</v>
      </c>
      <c r="J164" s="79" t="s">
        <v>3937</v>
      </c>
      <c r="K164" s="79" t="s">
        <v>3938</v>
      </c>
      <c r="L164" s="79" t="s">
        <v>3939</v>
      </c>
      <c r="M164" s="79" t="s">
        <v>3940</v>
      </c>
      <c r="N164" s="79"/>
      <c r="O164" s="79" t="s">
        <v>3941</v>
      </c>
      <c r="P164" s="79" t="s">
        <v>3942</v>
      </c>
      <c r="Q164" s="79" t="s">
        <v>3943</v>
      </c>
      <c r="R164" s="79" t="s">
        <v>3944</v>
      </c>
      <c r="S164" s="79" t="s">
        <v>3945</v>
      </c>
      <c r="T164" s="79" t="s">
        <v>3946</v>
      </c>
      <c r="U164" s="79" t="s">
        <v>3947</v>
      </c>
      <c r="V164" s="80" t="s">
        <v>3948</v>
      </c>
      <c r="W164" s="79" t="s">
        <v>3949</v>
      </c>
      <c r="X164" s="79" t="s">
        <v>3950</v>
      </c>
      <c r="Y164" s="79" t="s">
        <v>2815</v>
      </c>
      <c r="Z164" s="79" t="s">
        <v>3941</v>
      </c>
      <c r="AA164" s="79" t="s">
        <v>3951</v>
      </c>
      <c r="AB164" s="81" t="s">
        <v>3952</v>
      </c>
    </row>
    <row r="165" spans="1:28" x14ac:dyDescent="0.25">
      <c r="A165" s="27" t="s">
        <v>310</v>
      </c>
      <c r="B165" s="9" t="str">
        <f t="shared" si="15"/>
        <v>Sin posibilidad de recuperación</v>
      </c>
      <c r="D165" s="78" t="s">
        <v>2818</v>
      </c>
      <c r="E165" s="79" t="s">
        <v>2819</v>
      </c>
      <c r="F165" s="80" t="s">
        <v>2820</v>
      </c>
      <c r="G165" s="80" t="s">
        <v>2821</v>
      </c>
      <c r="H165" s="79" t="s">
        <v>2822</v>
      </c>
      <c r="I165" s="61" t="s">
        <v>188</v>
      </c>
      <c r="J165" s="79" t="s">
        <v>3953</v>
      </c>
      <c r="K165" s="79" t="s">
        <v>3954</v>
      </c>
      <c r="L165" s="79" t="s">
        <v>3955</v>
      </c>
      <c r="M165" s="79" t="s">
        <v>3956</v>
      </c>
      <c r="N165" s="79"/>
      <c r="O165" s="79" t="s">
        <v>3957</v>
      </c>
      <c r="P165" s="79" t="s">
        <v>3958</v>
      </c>
      <c r="Q165" s="79" t="s">
        <v>3959</v>
      </c>
      <c r="R165" s="79" t="s">
        <v>3960</v>
      </c>
      <c r="S165" s="79" t="s">
        <v>3961</v>
      </c>
      <c r="T165" s="79" t="s">
        <v>3962</v>
      </c>
      <c r="U165" s="79" t="s">
        <v>3963</v>
      </c>
      <c r="V165" s="80" t="s">
        <v>3964</v>
      </c>
      <c r="W165" s="79" t="s">
        <v>3965</v>
      </c>
      <c r="X165" s="79" t="s">
        <v>3966</v>
      </c>
      <c r="Y165" s="79" t="s">
        <v>3967</v>
      </c>
      <c r="Z165" s="79" t="s">
        <v>3957</v>
      </c>
      <c r="AA165" s="79" t="s">
        <v>3968</v>
      </c>
      <c r="AB165" s="81" t="s">
        <v>2820</v>
      </c>
    </row>
    <row r="166" spans="1:28" x14ac:dyDescent="0.25">
      <c r="A166" s="27" t="s">
        <v>311</v>
      </c>
      <c r="B166" s="9" t="str">
        <f t="shared" si="15"/>
        <v>Leve</v>
      </c>
      <c r="D166" s="78" t="s">
        <v>2823</v>
      </c>
      <c r="E166" s="79" t="s">
        <v>2824</v>
      </c>
      <c r="F166" s="80" t="s">
        <v>2825</v>
      </c>
      <c r="G166" s="80" t="s">
        <v>2826</v>
      </c>
      <c r="H166" s="79" t="s">
        <v>2827</v>
      </c>
      <c r="I166" s="61" t="s">
        <v>184</v>
      </c>
      <c r="J166" s="79" t="s">
        <v>3969</v>
      </c>
      <c r="K166" s="79" t="s">
        <v>3970</v>
      </c>
      <c r="L166" s="79" t="s">
        <v>3971</v>
      </c>
      <c r="M166" s="79" t="s">
        <v>3972</v>
      </c>
      <c r="N166" s="79"/>
      <c r="O166" s="79" t="s">
        <v>3973</v>
      </c>
      <c r="P166" s="79" t="s">
        <v>3974</v>
      </c>
      <c r="Q166" s="79" t="s">
        <v>3975</v>
      </c>
      <c r="R166" s="79" t="s">
        <v>3976</v>
      </c>
      <c r="S166" s="79" t="s">
        <v>3977</v>
      </c>
      <c r="T166" s="79" t="s">
        <v>3978</v>
      </c>
      <c r="U166" s="79" t="s">
        <v>3979</v>
      </c>
      <c r="V166" s="80" t="s">
        <v>3980</v>
      </c>
      <c r="W166" s="79" t="s">
        <v>3981</v>
      </c>
      <c r="X166" s="79" t="s">
        <v>3982</v>
      </c>
      <c r="Y166" s="79" t="s">
        <v>3983</v>
      </c>
      <c r="Z166" s="79" t="s">
        <v>3973</v>
      </c>
      <c r="AA166" s="79" t="s">
        <v>3984</v>
      </c>
      <c r="AB166" s="81" t="s">
        <v>184</v>
      </c>
    </row>
    <row r="167" spans="1:28" x14ac:dyDescent="0.25">
      <c r="A167" s="27" t="s">
        <v>312</v>
      </c>
      <c r="B167" s="9" t="str">
        <f t="shared" si="15"/>
        <v>Moderada</v>
      </c>
      <c r="D167" s="78" t="s">
        <v>2828</v>
      </c>
      <c r="E167" s="79" t="s">
        <v>2829</v>
      </c>
      <c r="F167" s="80" t="s">
        <v>2830</v>
      </c>
      <c r="G167" s="80" t="s">
        <v>2831</v>
      </c>
      <c r="H167" s="79" t="s">
        <v>2832</v>
      </c>
      <c r="I167" s="61" t="s">
        <v>186</v>
      </c>
      <c r="J167" s="79" t="s">
        <v>3985</v>
      </c>
      <c r="K167" s="79" t="s">
        <v>3986</v>
      </c>
      <c r="L167" s="79" t="s">
        <v>3987</v>
      </c>
      <c r="M167" s="79" t="s">
        <v>3988</v>
      </c>
      <c r="N167" s="79"/>
      <c r="O167" s="79" t="s">
        <v>3989</v>
      </c>
      <c r="P167" s="79" t="s">
        <v>3990</v>
      </c>
      <c r="Q167" s="79" t="s">
        <v>3991</v>
      </c>
      <c r="R167" s="79" t="s">
        <v>3992</v>
      </c>
      <c r="S167" s="79" t="s">
        <v>3993</v>
      </c>
      <c r="T167" s="79" t="s">
        <v>3994</v>
      </c>
      <c r="U167" s="79" t="s">
        <v>3995</v>
      </c>
      <c r="V167" s="80" t="s">
        <v>3996</v>
      </c>
      <c r="W167" s="79" t="s">
        <v>3985</v>
      </c>
      <c r="X167" s="79" t="s">
        <v>3997</v>
      </c>
      <c r="Y167" s="79" t="s">
        <v>3998</v>
      </c>
      <c r="Z167" s="79" t="s">
        <v>3999</v>
      </c>
      <c r="AA167" s="79" t="s">
        <v>4000</v>
      </c>
      <c r="AB167" s="81" t="s">
        <v>2830</v>
      </c>
    </row>
    <row r="168" spans="1:28" x14ac:dyDescent="0.25">
      <c r="A168" s="27" t="s">
        <v>313</v>
      </c>
      <c r="B168" s="9" t="str">
        <f t="shared" si="15"/>
        <v>Intensa</v>
      </c>
      <c r="D168" s="78" t="s">
        <v>2833</v>
      </c>
      <c r="E168" s="79" t="s">
        <v>2834</v>
      </c>
      <c r="F168" s="80" t="s">
        <v>2835</v>
      </c>
      <c r="G168" s="80" t="s">
        <v>2836</v>
      </c>
      <c r="H168" s="79" t="s">
        <v>2837</v>
      </c>
      <c r="I168" s="61" t="s">
        <v>187</v>
      </c>
      <c r="J168" s="79" t="s">
        <v>4001</v>
      </c>
      <c r="K168" s="79" t="s">
        <v>4002</v>
      </c>
      <c r="L168" s="79" t="s">
        <v>4003</v>
      </c>
      <c r="M168" s="79" t="s">
        <v>4004</v>
      </c>
      <c r="N168" s="79"/>
      <c r="O168" s="79" t="s">
        <v>4005</v>
      </c>
      <c r="P168" s="79" t="s">
        <v>4006</v>
      </c>
      <c r="Q168" s="79" t="s">
        <v>4007</v>
      </c>
      <c r="R168" s="79" t="s">
        <v>4008</v>
      </c>
      <c r="S168" s="79" t="s">
        <v>4009</v>
      </c>
      <c r="T168" s="79" t="s">
        <v>4010</v>
      </c>
      <c r="U168" s="79" t="s">
        <v>4011</v>
      </c>
      <c r="V168" s="80" t="s">
        <v>4012</v>
      </c>
      <c r="W168" s="79" t="s">
        <v>4013</v>
      </c>
      <c r="X168" s="79" t="s">
        <v>4014</v>
      </c>
      <c r="Y168" s="79" t="s">
        <v>4015</v>
      </c>
      <c r="Z168" s="79" t="s">
        <v>4016</v>
      </c>
      <c r="AA168" s="79" t="s">
        <v>4017</v>
      </c>
      <c r="AB168" s="81" t="s">
        <v>4018</v>
      </c>
    </row>
    <row r="169" spans="1:28" x14ac:dyDescent="0.25">
      <c r="A169" s="27" t="s">
        <v>314</v>
      </c>
      <c r="B169" s="9" t="str">
        <f t="shared" si="15"/>
        <v>Número total</v>
      </c>
      <c r="D169" s="78" t="s">
        <v>2838</v>
      </c>
      <c r="E169" s="79" t="s">
        <v>2839</v>
      </c>
      <c r="F169" s="80" t="s">
        <v>2840</v>
      </c>
      <c r="G169" s="80" t="s">
        <v>2841</v>
      </c>
      <c r="H169" s="79" t="s">
        <v>2842</v>
      </c>
      <c r="I169" s="61" t="s">
        <v>11</v>
      </c>
      <c r="J169" s="79" t="s">
        <v>4019</v>
      </c>
      <c r="K169" s="79" t="s">
        <v>4020</v>
      </c>
      <c r="L169" s="79" t="s">
        <v>4021</v>
      </c>
      <c r="M169" s="79" t="s">
        <v>4022</v>
      </c>
      <c r="N169" s="79"/>
      <c r="O169" s="79" t="s">
        <v>4023</v>
      </c>
      <c r="P169" s="79" t="s">
        <v>4024</v>
      </c>
      <c r="Q169" s="79" t="s">
        <v>4025</v>
      </c>
      <c r="R169" s="79" t="s">
        <v>4026</v>
      </c>
      <c r="S169" s="79" t="s">
        <v>4027</v>
      </c>
      <c r="T169" s="79" t="s">
        <v>4028</v>
      </c>
      <c r="U169" s="79" t="s">
        <v>4029</v>
      </c>
      <c r="V169" s="80" t="s">
        <v>4030</v>
      </c>
      <c r="W169" s="79" t="s">
        <v>4019</v>
      </c>
      <c r="X169" s="79" t="s">
        <v>4031</v>
      </c>
      <c r="Y169" s="79" t="s">
        <v>2839</v>
      </c>
      <c r="Z169" s="79" t="s">
        <v>4032</v>
      </c>
      <c r="AA169" s="79" t="s">
        <v>4033</v>
      </c>
      <c r="AB169" s="81" t="s">
        <v>4034</v>
      </c>
    </row>
    <row r="170" spans="1:28" x14ac:dyDescent="0.25">
      <c r="A170" s="27" t="s">
        <v>318</v>
      </c>
      <c r="B170" s="9" t="str">
        <f t="shared" si="15"/>
        <v>Reutilización</v>
      </c>
      <c r="D170" s="78" t="s">
        <v>2843</v>
      </c>
      <c r="E170" s="79" t="s">
        <v>2844</v>
      </c>
      <c r="F170" s="80" t="s">
        <v>2845</v>
      </c>
      <c r="G170" s="80" t="s">
        <v>2846</v>
      </c>
      <c r="H170" s="79" t="s">
        <v>2847</v>
      </c>
      <c r="I170" s="61" t="s">
        <v>321</v>
      </c>
      <c r="J170" s="79" t="s">
        <v>4035</v>
      </c>
      <c r="K170" s="79" t="s">
        <v>4036</v>
      </c>
      <c r="L170" s="79" t="s">
        <v>4037</v>
      </c>
      <c r="M170" s="79" t="s">
        <v>4038</v>
      </c>
      <c r="N170" s="79"/>
      <c r="O170" s="79" t="s">
        <v>4039</v>
      </c>
      <c r="P170" s="79" t="s">
        <v>4040</v>
      </c>
      <c r="Q170" s="79" t="s">
        <v>4041</v>
      </c>
      <c r="R170" s="79" t="s">
        <v>4042</v>
      </c>
      <c r="S170" s="79" t="s">
        <v>4043</v>
      </c>
      <c r="T170" s="79" t="s">
        <v>4044</v>
      </c>
      <c r="U170" s="79" t="s">
        <v>4045</v>
      </c>
      <c r="V170" s="80" t="s">
        <v>4046</v>
      </c>
      <c r="W170" s="79" t="s">
        <v>4047</v>
      </c>
      <c r="X170" s="79" t="s">
        <v>4048</v>
      </c>
      <c r="Y170" s="79" t="s">
        <v>4049</v>
      </c>
      <c r="Z170" s="79" t="s">
        <v>4050</v>
      </c>
      <c r="AA170" s="93" t="s">
        <v>4051</v>
      </c>
      <c r="AB170" s="81" t="s">
        <v>4052</v>
      </c>
    </row>
    <row r="171" spans="1:28" x14ac:dyDescent="0.25">
      <c r="A171" s="27" t="s">
        <v>319</v>
      </c>
      <c r="B171" s="9" t="str">
        <f t="shared" si="15"/>
        <v>Devuelto</v>
      </c>
      <c r="D171" s="78" t="s">
        <v>2848</v>
      </c>
      <c r="E171" s="79" t="s">
        <v>2849</v>
      </c>
      <c r="F171" s="80" t="s">
        <v>2850</v>
      </c>
      <c r="G171" s="80" t="s">
        <v>2851</v>
      </c>
      <c r="H171" s="79" t="s">
        <v>2852</v>
      </c>
      <c r="I171" s="61" t="s">
        <v>322</v>
      </c>
      <c r="J171" s="79" t="s">
        <v>4053</v>
      </c>
      <c r="K171" s="79" t="s">
        <v>4054</v>
      </c>
      <c r="L171" s="79" t="s">
        <v>4055</v>
      </c>
      <c r="M171" s="79" t="s">
        <v>4056</v>
      </c>
      <c r="N171" s="79"/>
      <c r="O171" s="79" t="s">
        <v>4057</v>
      </c>
      <c r="P171" s="79" t="s">
        <v>4058</v>
      </c>
      <c r="Q171" s="79" t="s">
        <v>4059</v>
      </c>
      <c r="R171" s="79" t="s">
        <v>4060</v>
      </c>
      <c r="S171" s="79" t="s">
        <v>4061</v>
      </c>
      <c r="T171" s="79" t="s">
        <v>4062</v>
      </c>
      <c r="U171" s="79" t="s">
        <v>4063</v>
      </c>
      <c r="V171" s="80" t="s">
        <v>4064</v>
      </c>
      <c r="W171" s="79" t="s">
        <v>4065</v>
      </c>
      <c r="X171" s="79" t="s">
        <v>4066</v>
      </c>
      <c r="Y171" s="79" t="s">
        <v>4067</v>
      </c>
      <c r="Z171" s="79" t="s">
        <v>4068</v>
      </c>
      <c r="AA171" s="93" t="s">
        <v>4069</v>
      </c>
      <c r="AB171" s="81" t="s">
        <v>4070</v>
      </c>
    </row>
    <row r="172" spans="1:28" x14ac:dyDescent="0.25">
      <c r="A172" s="27" t="s">
        <v>320</v>
      </c>
      <c r="B172" s="9" t="str">
        <f t="shared" si="15"/>
        <v>Realojado</v>
      </c>
      <c r="D172" s="78" t="s">
        <v>2853</v>
      </c>
      <c r="E172" s="79" t="s">
        <v>2854</v>
      </c>
      <c r="F172" s="80" t="s">
        <v>2855</v>
      </c>
      <c r="G172" s="80" t="s">
        <v>2856</v>
      </c>
      <c r="H172" s="79" t="s">
        <v>2857</v>
      </c>
      <c r="I172" s="61" t="s">
        <v>323</v>
      </c>
      <c r="J172" s="79" t="s">
        <v>4071</v>
      </c>
      <c r="K172" s="79" t="s">
        <v>4072</v>
      </c>
      <c r="L172" s="79" t="s">
        <v>4073</v>
      </c>
      <c r="M172" s="79" t="s">
        <v>4074</v>
      </c>
      <c r="N172" s="79"/>
      <c r="O172" s="79" t="s">
        <v>4075</v>
      </c>
      <c r="P172" s="79" t="s">
        <v>4076</v>
      </c>
      <c r="Q172" s="79" t="s">
        <v>4077</v>
      </c>
      <c r="R172" s="79" t="s">
        <v>4078</v>
      </c>
      <c r="S172" s="79" t="s">
        <v>4079</v>
      </c>
      <c r="T172" s="79" t="s">
        <v>4080</v>
      </c>
      <c r="U172" s="79" t="s">
        <v>4081</v>
      </c>
      <c r="V172" s="80" t="s">
        <v>4082</v>
      </c>
      <c r="W172" s="79" t="s">
        <v>4071</v>
      </c>
      <c r="X172" s="79" t="s">
        <v>4083</v>
      </c>
      <c r="Y172" s="79" t="s">
        <v>4084</v>
      </c>
      <c r="Z172" s="79" t="s">
        <v>4085</v>
      </c>
      <c r="AA172" s="93" t="s">
        <v>4086</v>
      </c>
      <c r="AB172" s="81" t="s">
        <v>4087</v>
      </c>
    </row>
    <row r="173" spans="1:28" x14ac:dyDescent="0.25">
      <c r="A173" s="27" t="s">
        <v>324</v>
      </c>
      <c r="B173" s="9" t="str">
        <f t="shared" si="15"/>
        <v>Describa los objetivos del proyecto (por ejemplo, despejar algunas incógnitas científicas o atender necesidades científicas o clínicas).</v>
      </c>
      <c r="D173" s="78" t="s">
        <v>2858</v>
      </c>
      <c r="E173" s="79" t="s">
        <v>2859</v>
      </c>
      <c r="F173" s="80" t="s">
        <v>2860</v>
      </c>
      <c r="G173" s="80" t="s">
        <v>2861</v>
      </c>
      <c r="H173" s="79" t="s">
        <v>2862</v>
      </c>
      <c r="I173" s="61" t="s">
        <v>325</v>
      </c>
      <c r="J173" s="79" t="s">
        <v>4088</v>
      </c>
      <c r="K173" s="79" t="s">
        <v>4089</v>
      </c>
      <c r="L173" s="79" t="s">
        <v>4090</v>
      </c>
      <c r="M173" s="79" t="s">
        <v>4091</v>
      </c>
      <c r="N173" s="79"/>
      <c r="O173" s="79" t="s">
        <v>4092</v>
      </c>
      <c r="P173" s="79" t="s">
        <v>4093</v>
      </c>
      <c r="Q173" s="79" t="s">
        <v>4094</v>
      </c>
      <c r="R173" s="79" t="s">
        <v>4095</v>
      </c>
      <c r="S173" s="79" t="s">
        <v>4096</v>
      </c>
      <c r="T173" s="79" t="s">
        <v>4097</v>
      </c>
      <c r="U173" s="79" t="s">
        <v>4098</v>
      </c>
      <c r="V173" s="80" t="s">
        <v>4099</v>
      </c>
      <c r="W173" s="79" t="s">
        <v>4100</v>
      </c>
      <c r="X173" s="79" t="s">
        <v>4101</v>
      </c>
      <c r="Y173" s="79" t="s">
        <v>4102</v>
      </c>
      <c r="Z173" s="79" t="s">
        <v>4103</v>
      </c>
      <c r="AA173" s="79" t="s">
        <v>4104</v>
      </c>
      <c r="AB173" s="81" t="s">
        <v>4105</v>
      </c>
    </row>
    <row r="174" spans="1:28" x14ac:dyDescent="0.25">
      <c r="A174" s="27" t="s">
        <v>326</v>
      </c>
      <c r="B174" s="9" t="str">
        <f t="shared" si="15"/>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D174" s="78" t="s">
        <v>2863</v>
      </c>
      <c r="E174" s="79" t="s">
        <v>2864</v>
      </c>
      <c r="F174" s="80" t="s">
        <v>2865</v>
      </c>
      <c r="G174" s="80" t="s">
        <v>2866</v>
      </c>
      <c r="H174" s="79" t="s">
        <v>2867</v>
      </c>
      <c r="I174" s="61" t="s">
        <v>327</v>
      </c>
      <c r="J174" s="79" t="s">
        <v>4106</v>
      </c>
      <c r="K174" s="79" t="s">
        <v>4107</v>
      </c>
      <c r="L174" s="79" t="s">
        <v>4108</v>
      </c>
      <c r="M174" s="79" t="s">
        <v>4109</v>
      </c>
      <c r="N174" s="79"/>
      <c r="O174" s="79" t="s">
        <v>4110</v>
      </c>
      <c r="P174" s="79" t="s">
        <v>4111</v>
      </c>
      <c r="Q174" s="80" t="s">
        <v>4112</v>
      </c>
      <c r="R174" s="79" t="s">
        <v>4113</v>
      </c>
      <c r="S174" s="79" t="s">
        <v>4114</v>
      </c>
      <c r="T174" s="79" t="s">
        <v>4115</v>
      </c>
      <c r="U174" s="79" t="s">
        <v>4116</v>
      </c>
      <c r="V174" s="80" t="s">
        <v>4117</v>
      </c>
      <c r="W174" s="79" t="s">
        <v>4118</v>
      </c>
      <c r="X174" s="79" t="s">
        <v>4119</v>
      </c>
      <c r="Y174" s="79" t="s">
        <v>4120</v>
      </c>
      <c r="Z174" s="79" t="s">
        <v>4121</v>
      </c>
      <c r="AA174" s="79" t="s">
        <v>4122</v>
      </c>
      <c r="AB174" s="81" t="s">
        <v>4123</v>
      </c>
    </row>
    <row r="175" spans="1:28" x14ac:dyDescent="0.25">
      <c r="A175" s="27" t="s">
        <v>328</v>
      </c>
      <c r="B175" s="9" t="str">
        <f t="shared" si="15"/>
        <v>¿En qué procedimientos se utilizarán normalmente los animales (por ejemplo, inyecciones, procedimientos quirúrgicos)? Indique el número de procedimientos y su duración.</v>
      </c>
      <c r="D175" s="78" t="s">
        <v>2868</v>
      </c>
      <c r="E175" s="79" t="s">
        <v>2869</v>
      </c>
      <c r="F175" s="80" t="s">
        <v>2870</v>
      </c>
      <c r="G175" s="80" t="s">
        <v>2871</v>
      </c>
      <c r="H175" s="79" t="s">
        <v>2872</v>
      </c>
      <c r="I175" s="61" t="s">
        <v>329</v>
      </c>
      <c r="J175" s="79" t="s">
        <v>4124</v>
      </c>
      <c r="K175" s="79" t="s">
        <v>4125</v>
      </c>
      <c r="L175" s="79" t="s">
        <v>4126</v>
      </c>
      <c r="M175" s="79" t="s">
        <v>4127</v>
      </c>
      <c r="N175" s="79"/>
      <c r="O175" s="79" t="s">
        <v>4128</v>
      </c>
      <c r="P175" s="79" t="s">
        <v>4129</v>
      </c>
      <c r="Q175" s="79" t="s">
        <v>4130</v>
      </c>
      <c r="R175" s="79" t="s">
        <v>4131</v>
      </c>
      <c r="S175" s="79" t="s">
        <v>4132</v>
      </c>
      <c r="T175" s="79" t="s">
        <v>4133</v>
      </c>
      <c r="U175" s="79" t="s">
        <v>4134</v>
      </c>
      <c r="V175" s="80" t="s">
        <v>4135</v>
      </c>
      <c r="W175" s="79" t="s">
        <v>4136</v>
      </c>
      <c r="X175" s="79" t="s">
        <v>4137</v>
      </c>
      <c r="Y175" s="79" t="s">
        <v>4138</v>
      </c>
      <c r="Z175" s="79" t="s">
        <v>4139</v>
      </c>
      <c r="AA175" s="79" t="s">
        <v>4140</v>
      </c>
      <c r="AB175" s="81" t="s">
        <v>4141</v>
      </c>
    </row>
    <row r="176" spans="1:28" x14ac:dyDescent="0.25">
      <c r="A176" s="27" t="s">
        <v>330</v>
      </c>
      <c r="B176" s="9" t="str">
        <f t="shared" si="15"/>
        <v>¿Cuáles son las repercusiones o los efectos adversos previstos en los animales, por ejemplo, dolor, pérdida de peso, inactividad o movilidad reducida, estrés o anomalías del comportamiento, y cuál será la duración de esos efectos?</v>
      </c>
      <c r="D176" s="78" t="s">
        <v>2873</v>
      </c>
      <c r="E176" s="79" t="s">
        <v>2874</v>
      </c>
      <c r="F176" s="80" t="s">
        <v>2875</v>
      </c>
      <c r="G176" s="80" t="s">
        <v>2876</v>
      </c>
      <c r="H176" s="79" t="s">
        <v>2877</v>
      </c>
      <c r="I176" s="61" t="s">
        <v>331</v>
      </c>
      <c r="J176" s="79" t="s">
        <v>4142</v>
      </c>
      <c r="K176" s="79" t="s">
        <v>4143</v>
      </c>
      <c r="L176" s="79" t="s">
        <v>4144</v>
      </c>
      <c r="M176" s="79" t="s">
        <v>4145</v>
      </c>
      <c r="N176" s="79"/>
      <c r="O176" s="79" t="s">
        <v>4146</v>
      </c>
      <c r="P176" s="79" t="s">
        <v>4147</v>
      </c>
      <c r="Q176" s="79" t="s">
        <v>4148</v>
      </c>
      <c r="R176" s="79" t="s">
        <v>4149</v>
      </c>
      <c r="S176" s="79" t="s">
        <v>4150</v>
      </c>
      <c r="T176" s="79" t="s">
        <v>4151</v>
      </c>
      <c r="U176" s="79" t="s">
        <v>4152</v>
      </c>
      <c r="V176" s="80" t="s">
        <v>4153</v>
      </c>
      <c r="W176" s="79" t="s">
        <v>4154</v>
      </c>
      <c r="X176" s="79" t="s">
        <v>4155</v>
      </c>
      <c r="Y176" s="79" t="s">
        <v>4156</v>
      </c>
      <c r="Z176" s="79" t="s">
        <v>4157</v>
      </c>
      <c r="AA176" s="79" t="s">
        <v>4158</v>
      </c>
      <c r="AB176" s="81" t="s">
        <v>4159</v>
      </c>
    </row>
    <row r="177" spans="1:28" x14ac:dyDescent="0.25">
      <c r="A177" s="27" t="s">
        <v>349</v>
      </c>
      <c r="B177" s="9" t="str">
        <f t="shared" si="15"/>
        <v>¿Qué especies y qué número de animales está previsto utilizar? ¿Cuáles son los niveles de severidad esperados y el número de animales en cada categoría de severidad (por especies)?</v>
      </c>
      <c r="D177" s="78" t="s">
        <v>2878</v>
      </c>
      <c r="E177" s="79" t="s">
        <v>2879</v>
      </c>
      <c r="F177" s="80" t="s">
        <v>2880</v>
      </c>
      <c r="G177" s="80" t="s">
        <v>2881</v>
      </c>
      <c r="H177" s="79" t="s">
        <v>2882</v>
      </c>
      <c r="I177" s="61" t="s">
        <v>332</v>
      </c>
      <c r="J177" s="79" t="s">
        <v>4160</v>
      </c>
      <c r="K177" s="79" t="s">
        <v>4161</v>
      </c>
      <c r="L177" s="79" t="s">
        <v>4162</v>
      </c>
      <c r="M177" s="79" t="s">
        <v>4163</v>
      </c>
      <c r="N177" s="79"/>
      <c r="O177" s="79" t="s">
        <v>4164</v>
      </c>
      <c r="P177" s="79" t="s">
        <v>4165</v>
      </c>
      <c r="Q177" s="79" t="s">
        <v>4166</v>
      </c>
      <c r="R177" s="79" t="s">
        <v>4167</v>
      </c>
      <c r="S177" s="79" t="s">
        <v>4168</v>
      </c>
      <c r="T177" s="79" t="s">
        <v>4169</v>
      </c>
      <c r="U177" s="79" t="s">
        <v>4170</v>
      </c>
      <c r="V177" s="80" t="s">
        <v>4171</v>
      </c>
      <c r="W177" s="79" t="s">
        <v>4172</v>
      </c>
      <c r="X177" s="79" t="s">
        <v>4173</v>
      </c>
      <c r="Y177" s="79" t="s">
        <v>4174</v>
      </c>
      <c r="Z177" s="79" t="s">
        <v>4175</v>
      </c>
      <c r="AA177" s="79" t="s">
        <v>4176</v>
      </c>
      <c r="AB177" s="81" t="s">
        <v>4177</v>
      </c>
    </row>
    <row r="178" spans="1:28" x14ac:dyDescent="0.25">
      <c r="A178" s="27" t="s">
        <v>333</v>
      </c>
      <c r="B178" s="9" t="str">
        <f t="shared" si="15"/>
        <v>¿Qué ocurrirá con los animales que se mantengan vivos al término del procedimiento?</v>
      </c>
      <c r="D178" s="78" t="s">
        <v>2883</v>
      </c>
      <c r="E178" s="79" t="s">
        <v>2884</v>
      </c>
      <c r="F178" s="80" t="s">
        <v>2885</v>
      </c>
      <c r="G178" s="80" t="s">
        <v>2886</v>
      </c>
      <c r="H178" s="79" t="s">
        <v>2887</v>
      </c>
      <c r="I178" s="61" t="s">
        <v>334</v>
      </c>
      <c r="J178" s="79" t="s">
        <v>4178</v>
      </c>
      <c r="K178" s="79" t="s">
        <v>4179</v>
      </c>
      <c r="L178" s="79" t="s">
        <v>4180</v>
      </c>
      <c r="M178" s="79" t="s">
        <v>4181</v>
      </c>
      <c r="N178" s="79"/>
      <c r="O178" s="79" t="s">
        <v>4182</v>
      </c>
      <c r="P178" s="79" t="s">
        <v>4183</v>
      </c>
      <c r="Q178" s="79" t="s">
        <v>4184</v>
      </c>
      <c r="R178" s="79" t="s">
        <v>4185</v>
      </c>
      <c r="S178" s="79" t="s">
        <v>4186</v>
      </c>
      <c r="T178" s="79" t="s">
        <v>4187</v>
      </c>
      <c r="U178" s="79" t="s">
        <v>4188</v>
      </c>
      <c r="V178" s="80" t="s">
        <v>4189</v>
      </c>
      <c r="W178" s="79" t="s">
        <v>4190</v>
      </c>
      <c r="X178" s="79" t="s">
        <v>4191</v>
      </c>
      <c r="Y178" s="79" t="s">
        <v>4192</v>
      </c>
      <c r="Z178" s="79" t="s">
        <v>4193</v>
      </c>
      <c r="AA178" s="79" t="s">
        <v>4194</v>
      </c>
      <c r="AB178" s="81" t="s">
        <v>4195</v>
      </c>
    </row>
    <row r="179" spans="1:28" x14ac:dyDescent="0.25">
      <c r="A179" s="27" t="s">
        <v>335</v>
      </c>
      <c r="B179" s="9" t="str">
        <f t="shared" si="15"/>
        <v>Le rogamos explique los motivos del destino previsto de los animales después del procedimiento.</v>
      </c>
      <c r="D179" s="78" t="s">
        <v>2888</v>
      </c>
      <c r="E179" s="79" t="s">
        <v>2889</v>
      </c>
      <c r="F179" s="80" t="s">
        <v>2890</v>
      </c>
      <c r="G179" s="80" t="s">
        <v>2891</v>
      </c>
      <c r="H179" s="79" t="s">
        <v>2892</v>
      </c>
      <c r="I179" s="61" t="s">
        <v>336</v>
      </c>
      <c r="J179" s="79" t="s">
        <v>4196</v>
      </c>
      <c r="K179" s="79" t="s">
        <v>4197</v>
      </c>
      <c r="L179" s="79" t="s">
        <v>4198</v>
      </c>
      <c r="M179" s="79" t="s">
        <v>4199</v>
      </c>
      <c r="N179" s="79"/>
      <c r="O179" s="79" t="s">
        <v>4200</v>
      </c>
      <c r="P179" s="79" t="s">
        <v>3546</v>
      </c>
      <c r="Q179" s="79" t="s">
        <v>4201</v>
      </c>
      <c r="R179" s="79" t="s">
        <v>4202</v>
      </c>
      <c r="S179" s="79" t="s">
        <v>4203</v>
      </c>
      <c r="T179" s="79" t="s">
        <v>4204</v>
      </c>
      <c r="U179" s="79" t="s">
        <v>4205</v>
      </c>
      <c r="V179" s="80" t="s">
        <v>4206</v>
      </c>
      <c r="W179" s="79" t="s">
        <v>4207</v>
      </c>
      <c r="X179" s="79" t="s">
        <v>4208</v>
      </c>
      <c r="Y179" s="79" t="s">
        <v>4209</v>
      </c>
      <c r="Z179" s="79" t="s">
        <v>4210</v>
      </c>
      <c r="AA179" s="79" t="s">
        <v>4211</v>
      </c>
      <c r="AB179" s="81" t="s">
        <v>4212</v>
      </c>
    </row>
    <row r="180" spans="1:28" x14ac:dyDescent="0.25">
      <c r="A180" s="27" t="s">
        <v>337</v>
      </c>
      <c r="B180" s="9" t="str">
        <f t="shared" si="15"/>
        <v>Indique las alternativas disponibles en este campo que no requieren el uso de animales y el motivo por el que no pueden utilizarse para los fines del proyecto.</v>
      </c>
      <c r="D180" s="78" t="s">
        <v>2893</v>
      </c>
      <c r="E180" s="79" t="s">
        <v>2894</v>
      </c>
      <c r="F180" s="80" t="s">
        <v>2895</v>
      </c>
      <c r="G180" s="80" t="s">
        <v>2896</v>
      </c>
      <c r="H180" s="79" t="s">
        <v>2897</v>
      </c>
      <c r="I180" s="61" t="s">
        <v>338</v>
      </c>
      <c r="J180" s="79" t="s">
        <v>4213</v>
      </c>
      <c r="K180" s="79" t="s">
        <v>4214</v>
      </c>
      <c r="L180" s="79" t="s">
        <v>4215</v>
      </c>
      <c r="M180" s="79" t="s">
        <v>4216</v>
      </c>
      <c r="N180" s="79"/>
      <c r="O180" s="79" t="s">
        <v>4217</v>
      </c>
      <c r="P180" s="79" t="s">
        <v>4218</v>
      </c>
      <c r="Q180" s="79" t="s">
        <v>4219</v>
      </c>
      <c r="R180" s="79" t="s">
        <v>4220</v>
      </c>
      <c r="S180" s="79" t="s">
        <v>4221</v>
      </c>
      <c r="T180" s="79" t="s">
        <v>4222</v>
      </c>
      <c r="U180" s="79" t="s">
        <v>4223</v>
      </c>
      <c r="V180" s="80" t="s">
        <v>4224</v>
      </c>
      <c r="W180" s="79" t="s">
        <v>4225</v>
      </c>
      <c r="X180" s="79" t="s">
        <v>4226</v>
      </c>
      <c r="Y180" s="79" t="s">
        <v>4227</v>
      </c>
      <c r="Z180" s="79" t="s">
        <v>4228</v>
      </c>
      <c r="AA180" s="79" t="s">
        <v>4229</v>
      </c>
      <c r="AB180" s="81" t="s">
        <v>4230</v>
      </c>
    </row>
    <row r="181" spans="1:28" x14ac:dyDescent="0.25">
      <c r="A181" s="27" t="s">
        <v>339</v>
      </c>
      <c r="B181" s="9" t="str">
        <f t="shared" si="15"/>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D181" s="78" t="s">
        <v>2898</v>
      </c>
      <c r="E181" s="79" t="s">
        <v>2899</v>
      </c>
      <c r="F181" s="80" t="s">
        <v>2900</v>
      </c>
      <c r="G181" s="80" t="s">
        <v>2901</v>
      </c>
      <c r="H181" s="79" t="s">
        <v>2902</v>
      </c>
      <c r="I181" s="61" t="s">
        <v>340</v>
      </c>
      <c r="J181" s="79" t="s">
        <v>4231</v>
      </c>
      <c r="K181" s="79" t="s">
        <v>4232</v>
      </c>
      <c r="L181" s="79" t="s">
        <v>4233</v>
      </c>
      <c r="M181" s="79" t="s">
        <v>4234</v>
      </c>
      <c r="N181" s="79"/>
      <c r="O181" s="79" t="s">
        <v>4235</v>
      </c>
      <c r="P181" s="79" t="s">
        <v>4236</v>
      </c>
      <c r="Q181" s="80" t="s">
        <v>4237</v>
      </c>
      <c r="R181" s="79" t="s">
        <v>4238</v>
      </c>
      <c r="S181" s="79" t="s">
        <v>4239</v>
      </c>
      <c r="T181" s="79" t="s">
        <v>4240</v>
      </c>
      <c r="U181" s="79" t="s">
        <v>4241</v>
      </c>
      <c r="V181" s="80" t="s">
        <v>4242</v>
      </c>
      <c r="W181" s="79" t="s">
        <v>4243</v>
      </c>
      <c r="X181" s="79" t="s">
        <v>4244</v>
      </c>
      <c r="Y181" s="79" t="s">
        <v>4245</v>
      </c>
      <c r="Z181" s="79" t="s">
        <v>4246</v>
      </c>
      <c r="AA181" s="79" t="s">
        <v>4247</v>
      </c>
      <c r="AB181" s="81" t="s">
        <v>4248</v>
      </c>
    </row>
    <row r="182" spans="1:28" x14ac:dyDescent="0.25">
      <c r="A182" s="27" t="s">
        <v>341</v>
      </c>
      <c r="B182" s="9" t="str">
        <f t="shared" si="15"/>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D182" s="78" t="s">
        <v>2903</v>
      </c>
      <c r="E182" s="79" t="s">
        <v>2904</v>
      </c>
      <c r="F182" s="80" t="s">
        <v>2905</v>
      </c>
      <c r="G182" s="80" t="s">
        <v>2906</v>
      </c>
      <c r="H182" s="79" t="s">
        <v>2907</v>
      </c>
      <c r="I182" s="61" t="s">
        <v>342</v>
      </c>
      <c r="J182" s="79" t="s">
        <v>4249</v>
      </c>
      <c r="K182" s="79" t="s">
        <v>4250</v>
      </c>
      <c r="L182" s="79" t="s">
        <v>4251</v>
      </c>
      <c r="M182" s="79" t="s">
        <v>4252</v>
      </c>
      <c r="N182" s="79"/>
      <c r="O182" s="79" t="s">
        <v>4253</v>
      </c>
      <c r="P182" s="79" t="s">
        <v>4254</v>
      </c>
      <c r="Q182" s="80" t="s">
        <v>4255</v>
      </c>
      <c r="R182" s="79" t="s">
        <v>4256</v>
      </c>
      <c r="S182" s="79" t="s">
        <v>4257</v>
      </c>
      <c r="T182" s="79" t="s">
        <v>4258</v>
      </c>
      <c r="U182" s="79" t="s">
        <v>4259</v>
      </c>
      <c r="V182" s="80" t="s">
        <v>4260</v>
      </c>
      <c r="W182" s="79" t="s">
        <v>4261</v>
      </c>
      <c r="X182" s="79" t="s">
        <v>4262</v>
      </c>
      <c r="Y182" s="79" t="s">
        <v>4263</v>
      </c>
      <c r="Z182" s="79" t="s">
        <v>4264</v>
      </c>
      <c r="AA182" s="79" t="s">
        <v>4265</v>
      </c>
      <c r="AB182" s="81" t="s">
        <v>4266</v>
      </c>
    </row>
    <row r="183" spans="1:28" x14ac:dyDescent="0.25">
      <c r="A183" s="27" t="s">
        <v>343</v>
      </c>
      <c r="B183" s="9" t="str">
        <f t="shared" si="15"/>
        <v>Cifras estimadas, por nivel de severidad</v>
      </c>
      <c r="D183" s="78" t="s">
        <v>2908</v>
      </c>
      <c r="E183" s="79" t="s">
        <v>2909</v>
      </c>
      <c r="F183" s="80" t="s">
        <v>2910</v>
      </c>
      <c r="G183" s="80" t="s">
        <v>2911</v>
      </c>
      <c r="H183" s="79" t="s">
        <v>2912</v>
      </c>
      <c r="I183" s="61" t="s">
        <v>344</v>
      </c>
      <c r="J183" s="79" t="s">
        <v>4267</v>
      </c>
      <c r="K183" s="79" t="s">
        <v>4268</v>
      </c>
      <c r="L183" s="79" t="s">
        <v>4269</v>
      </c>
      <c r="M183" s="79" t="s">
        <v>4270</v>
      </c>
      <c r="N183" s="79"/>
      <c r="O183" s="79" t="s">
        <v>4271</v>
      </c>
      <c r="P183" s="79" t="s">
        <v>4272</v>
      </c>
      <c r="Q183" s="79" t="s">
        <v>4273</v>
      </c>
      <c r="R183" s="79" t="s">
        <v>4274</v>
      </c>
      <c r="S183" s="79" t="s">
        <v>4275</v>
      </c>
      <c r="T183" s="79" t="s">
        <v>4276</v>
      </c>
      <c r="U183" s="79" t="s">
        <v>4277</v>
      </c>
      <c r="V183" s="80" t="s">
        <v>4278</v>
      </c>
      <c r="W183" s="79" t="s">
        <v>4279</v>
      </c>
      <c r="X183" s="79" t="s">
        <v>4280</v>
      </c>
      <c r="Y183" s="79" t="s">
        <v>4281</v>
      </c>
      <c r="Z183" s="79" t="s">
        <v>4282</v>
      </c>
      <c r="AA183" s="79" t="s">
        <v>4283</v>
      </c>
      <c r="AB183" s="81" t="s">
        <v>4284</v>
      </c>
    </row>
    <row r="184" spans="1:28" x14ac:dyDescent="0.25">
      <c r="A184" s="27" t="s">
        <v>346</v>
      </c>
      <c r="B184" s="9" t="str">
        <f t="shared" si="15"/>
        <v>Número estimado de animales que deben reutilizarse, ser devueltos al hábitat o al sistema de cría o ser realojados</v>
      </c>
      <c r="D184" s="78" t="s">
        <v>2913</v>
      </c>
      <c r="E184" s="79" t="s">
        <v>2914</v>
      </c>
      <c r="F184" s="80" t="s">
        <v>2915</v>
      </c>
      <c r="G184" s="80" t="s">
        <v>2916</v>
      </c>
      <c r="H184" s="79" t="s">
        <v>2917</v>
      </c>
      <c r="I184" s="61" t="s">
        <v>345</v>
      </c>
      <c r="J184" s="79" t="s">
        <v>4285</v>
      </c>
      <c r="K184" s="79" t="s">
        <v>4286</v>
      </c>
      <c r="L184" s="79" t="s">
        <v>4287</v>
      </c>
      <c r="M184" s="79" t="s">
        <v>4288</v>
      </c>
      <c r="N184" s="79"/>
      <c r="O184" s="79" t="s">
        <v>4289</v>
      </c>
      <c r="P184" s="79" t="s">
        <v>4290</v>
      </c>
      <c r="Q184" s="79" t="s">
        <v>4291</v>
      </c>
      <c r="R184" s="79" t="s">
        <v>4292</v>
      </c>
      <c r="S184" s="79" t="s">
        <v>4293</v>
      </c>
      <c r="T184" s="79" t="s">
        <v>4294</v>
      </c>
      <c r="U184" s="79" t="s">
        <v>4295</v>
      </c>
      <c r="V184" s="80" t="s">
        <v>4296</v>
      </c>
      <c r="W184" s="79" t="s">
        <v>4297</v>
      </c>
      <c r="X184" s="79" t="s">
        <v>4298</v>
      </c>
      <c r="Y184" s="79" t="s">
        <v>4299</v>
      </c>
      <c r="Z184" s="79" t="s">
        <v>4300</v>
      </c>
      <c r="AA184" s="79" t="s">
        <v>4301</v>
      </c>
      <c r="AB184" s="81" t="s">
        <v>4302</v>
      </c>
    </row>
    <row r="185" spans="1:28" x14ac:dyDescent="0.25">
      <c r="A185" s="27" t="s">
        <v>350</v>
      </c>
      <c r="B185" s="9" t="str">
        <f t="shared" si="14"/>
        <v>Obligatorio</v>
      </c>
      <c r="D185" s="78" t="s">
        <v>2918</v>
      </c>
      <c r="E185" s="79" t="s">
        <v>2919</v>
      </c>
      <c r="F185" s="80" t="s">
        <v>2920</v>
      </c>
      <c r="G185" s="80" t="s">
        <v>2921</v>
      </c>
      <c r="H185" s="79" t="s">
        <v>2922</v>
      </c>
      <c r="I185" s="61" t="s">
        <v>555</v>
      </c>
      <c r="J185" s="79" t="s">
        <v>4303</v>
      </c>
      <c r="K185" s="79" t="s">
        <v>4304</v>
      </c>
      <c r="L185" s="79" t="s">
        <v>4305</v>
      </c>
      <c r="M185" s="79" t="s">
        <v>4306</v>
      </c>
      <c r="N185" s="79"/>
      <c r="O185" s="79" t="s">
        <v>4307</v>
      </c>
      <c r="P185" s="79" t="s">
        <v>4308</v>
      </c>
      <c r="Q185" s="79" t="s">
        <v>4309</v>
      </c>
      <c r="R185" s="79" t="s">
        <v>4310</v>
      </c>
      <c r="S185" s="79" t="s">
        <v>4311</v>
      </c>
      <c r="T185" s="79" t="s">
        <v>4312</v>
      </c>
      <c r="U185" s="79" t="s">
        <v>4313</v>
      </c>
      <c r="V185" s="80" t="s">
        <v>4314</v>
      </c>
      <c r="W185" s="79" t="s">
        <v>4315</v>
      </c>
      <c r="X185" s="79" t="s">
        <v>4316</v>
      </c>
      <c r="Y185" s="79" t="s">
        <v>4317</v>
      </c>
      <c r="Z185" s="79" t="s">
        <v>4307</v>
      </c>
      <c r="AA185" s="79" t="s">
        <v>4318</v>
      </c>
      <c r="AB185" s="81" t="s">
        <v>4319</v>
      </c>
    </row>
    <row r="186" spans="1:28" x14ac:dyDescent="0.25">
      <c r="A186" s="27" t="s">
        <v>499</v>
      </c>
      <c r="B186" s="9" t="str">
        <f t="shared" si="14"/>
        <v>Aplicable a los EM cuya legislación requiera esta información.</v>
      </c>
      <c r="D186" s="78" t="s">
        <v>2923</v>
      </c>
      <c r="E186" s="79" t="s">
        <v>2924</v>
      </c>
      <c r="F186" s="80" t="s">
        <v>2925</v>
      </c>
      <c r="G186" s="80" t="s">
        <v>2926</v>
      </c>
      <c r="H186" s="79" t="s">
        <v>2927</v>
      </c>
      <c r="I186" s="61" t="s">
        <v>562</v>
      </c>
      <c r="J186" s="79" t="s">
        <v>4320</v>
      </c>
      <c r="K186" s="79" t="s">
        <v>4321</v>
      </c>
      <c r="L186" s="79" t="s">
        <v>4322</v>
      </c>
      <c r="M186" s="79" t="s">
        <v>4323</v>
      </c>
      <c r="N186" s="79"/>
      <c r="O186" s="79" t="s">
        <v>4324</v>
      </c>
      <c r="P186" s="79" t="s">
        <v>4325</v>
      </c>
      <c r="Q186" s="79" t="s">
        <v>4326</v>
      </c>
      <c r="R186" s="79" t="s">
        <v>4327</v>
      </c>
      <c r="S186" s="79" t="s">
        <v>4328</v>
      </c>
      <c r="T186" s="79" t="s">
        <v>4329</v>
      </c>
      <c r="U186" s="79" t="s">
        <v>4330</v>
      </c>
      <c r="V186" s="80" t="s">
        <v>4331</v>
      </c>
      <c r="W186" s="79" t="s">
        <v>4332</v>
      </c>
      <c r="X186" s="79" t="s">
        <v>4333</v>
      </c>
      <c r="Y186" s="79" t="s">
        <v>4334</v>
      </c>
      <c r="Z186" s="79" t="s">
        <v>4335</v>
      </c>
      <c r="AA186" s="79" t="s">
        <v>4336</v>
      </c>
      <c r="AB186" s="81" t="s">
        <v>4337</v>
      </c>
    </row>
    <row r="187" spans="1:28" x14ac:dyDescent="0.25">
      <c r="A187" s="27" t="s">
        <v>351</v>
      </c>
      <c r="B187" s="9" t="str">
        <f t="shared" si="14"/>
        <v>La longitud máxima es de 100 caracteres</v>
      </c>
      <c r="D187" s="78" t="s">
        <v>2928</v>
      </c>
      <c r="E187" s="79" t="s">
        <v>2929</v>
      </c>
      <c r="F187" s="80" t="s">
        <v>2930</v>
      </c>
      <c r="G187" s="80" t="s">
        <v>2931</v>
      </c>
      <c r="H187" s="79" t="s">
        <v>2932</v>
      </c>
      <c r="I187" s="61" t="s">
        <v>352</v>
      </c>
      <c r="J187" s="79" t="s">
        <v>4338</v>
      </c>
      <c r="K187" s="79" t="s">
        <v>4339</v>
      </c>
      <c r="L187" s="79" t="s">
        <v>4340</v>
      </c>
      <c r="M187" s="79" t="s">
        <v>4341</v>
      </c>
      <c r="N187" s="79"/>
      <c r="O187" s="79" t="s">
        <v>4342</v>
      </c>
      <c r="P187" s="79" t="s">
        <v>4343</v>
      </c>
      <c r="Q187" s="79" t="s">
        <v>4344</v>
      </c>
      <c r="R187" s="79" t="s">
        <v>4345</v>
      </c>
      <c r="S187" s="79" t="s">
        <v>4346</v>
      </c>
      <c r="T187" s="79" t="s">
        <v>4347</v>
      </c>
      <c r="U187" s="79" t="s">
        <v>4348</v>
      </c>
      <c r="V187" s="80" t="s">
        <v>4349</v>
      </c>
      <c r="W187" s="79" t="s">
        <v>4350</v>
      </c>
      <c r="X187" s="79" t="s">
        <v>4351</v>
      </c>
      <c r="Y187" s="79" t="s">
        <v>4352</v>
      </c>
      <c r="Z187" s="79" t="s">
        <v>4353</v>
      </c>
      <c r="AA187" s="79" t="s">
        <v>4354</v>
      </c>
      <c r="AB187" s="81" t="s">
        <v>4355</v>
      </c>
    </row>
    <row r="188" spans="1:28" x14ac:dyDescent="0.25">
      <c r="A188" s="27" t="s">
        <v>360</v>
      </c>
      <c r="B188" s="9" t="str">
        <f t="shared" si="14"/>
        <v>Duración del proyecto expresada en meses.</v>
      </c>
      <c r="D188" s="78" t="s">
        <v>2933</v>
      </c>
      <c r="E188" s="79" t="s">
        <v>2934</v>
      </c>
      <c r="F188" s="80" t="s">
        <v>2935</v>
      </c>
      <c r="G188" s="80" t="s">
        <v>2936</v>
      </c>
      <c r="H188" s="79" t="s">
        <v>2937</v>
      </c>
      <c r="I188" s="61" t="s">
        <v>362</v>
      </c>
      <c r="J188" s="79" t="s">
        <v>4356</v>
      </c>
      <c r="K188" s="79" t="s">
        <v>4357</v>
      </c>
      <c r="L188" s="79" t="s">
        <v>4358</v>
      </c>
      <c r="M188" s="79" t="s">
        <v>4359</v>
      </c>
      <c r="N188" s="79"/>
      <c r="O188" s="79" t="s">
        <v>4360</v>
      </c>
      <c r="P188" s="79" t="s">
        <v>4361</v>
      </c>
      <c r="Q188" s="79" t="s">
        <v>4362</v>
      </c>
      <c r="R188" s="79" t="s">
        <v>4363</v>
      </c>
      <c r="S188" s="79" t="s">
        <v>4364</v>
      </c>
      <c r="T188" s="79" t="s">
        <v>4365</v>
      </c>
      <c r="U188" s="79" t="s">
        <v>4366</v>
      </c>
      <c r="V188" s="80" t="s">
        <v>4367</v>
      </c>
      <c r="W188" s="79" t="s">
        <v>4368</v>
      </c>
      <c r="X188" s="79" t="s">
        <v>4369</v>
      </c>
      <c r="Y188" s="79" t="s">
        <v>4370</v>
      </c>
      <c r="Z188" s="79" t="s">
        <v>4371</v>
      </c>
      <c r="AA188" s="79" t="s">
        <v>4372</v>
      </c>
      <c r="AB188" s="81" t="s">
        <v>4373</v>
      </c>
    </row>
    <row r="189" spans="1:28" x14ac:dyDescent="0.25">
      <c r="A189" s="27" t="s">
        <v>361</v>
      </c>
      <c r="B189" s="9" t="str">
        <f t="shared" si="14"/>
        <v>Debe ser un número entero entre 1 y 60.</v>
      </c>
      <c r="D189" s="78" t="s">
        <v>2938</v>
      </c>
      <c r="E189" s="79" t="s">
        <v>2939</v>
      </c>
      <c r="F189" s="80" t="s">
        <v>2940</v>
      </c>
      <c r="G189" s="80" t="s">
        <v>2941</v>
      </c>
      <c r="H189" s="79" t="s">
        <v>2942</v>
      </c>
      <c r="I189" s="61" t="s">
        <v>507</v>
      </c>
      <c r="J189" s="79" t="s">
        <v>4374</v>
      </c>
      <c r="K189" s="79" t="s">
        <v>4375</v>
      </c>
      <c r="L189" s="79" t="s">
        <v>4376</v>
      </c>
      <c r="M189" s="79" t="s">
        <v>4377</v>
      </c>
      <c r="N189" s="79"/>
      <c r="O189" s="79" t="s">
        <v>4378</v>
      </c>
      <c r="P189" s="79" t="s">
        <v>4379</v>
      </c>
      <c r="Q189" s="79" t="s">
        <v>4380</v>
      </c>
      <c r="R189" s="79" t="s">
        <v>4381</v>
      </c>
      <c r="S189" s="79" t="s">
        <v>4382</v>
      </c>
      <c r="T189" s="79" t="s">
        <v>4383</v>
      </c>
      <c r="U189" s="79" t="s">
        <v>4384</v>
      </c>
      <c r="V189" s="80" t="s">
        <v>4385</v>
      </c>
      <c r="W189" s="79" t="s">
        <v>4386</v>
      </c>
      <c r="X189" s="79" t="s">
        <v>4387</v>
      </c>
      <c r="Y189" s="79" t="s">
        <v>4388</v>
      </c>
      <c r="Z189" s="79" t="s">
        <v>4389</v>
      </c>
      <c r="AA189" s="79" t="s">
        <v>4390</v>
      </c>
      <c r="AB189" s="81" t="s">
        <v>4391</v>
      </c>
    </row>
    <row r="190" spans="1:28" x14ac:dyDescent="0.25">
      <c r="A190" s="27" t="s">
        <v>353</v>
      </c>
      <c r="B190" s="9" t="str">
        <f t="shared" si="14"/>
        <v>La longitud máxima es de 50 caracteres, incluidos espacios.</v>
      </c>
      <c r="D190" s="78" t="s">
        <v>2943</v>
      </c>
      <c r="E190" s="79" t="s">
        <v>2944</v>
      </c>
      <c r="F190" s="80" t="s">
        <v>2945</v>
      </c>
      <c r="G190" s="80" t="s">
        <v>2946</v>
      </c>
      <c r="H190" s="79" t="s">
        <v>2947</v>
      </c>
      <c r="I190" s="61" t="s">
        <v>500</v>
      </c>
      <c r="J190" s="79" t="s">
        <v>4392</v>
      </c>
      <c r="K190" s="79" t="s">
        <v>4393</v>
      </c>
      <c r="L190" s="79" t="s">
        <v>4394</v>
      </c>
      <c r="M190" s="79" t="s">
        <v>4395</v>
      </c>
      <c r="N190" s="79"/>
      <c r="O190" s="79" t="s">
        <v>4396</v>
      </c>
      <c r="P190" s="79" t="s">
        <v>4397</v>
      </c>
      <c r="Q190" s="79" t="s">
        <v>4398</v>
      </c>
      <c r="R190" s="79" t="s">
        <v>4399</v>
      </c>
      <c r="S190" s="79" t="s">
        <v>4400</v>
      </c>
      <c r="T190" s="79" t="s">
        <v>4401</v>
      </c>
      <c r="U190" s="79" t="s">
        <v>4402</v>
      </c>
      <c r="V190" s="80" t="s">
        <v>4403</v>
      </c>
      <c r="W190" s="79" t="s">
        <v>4404</v>
      </c>
      <c r="X190" s="79" t="s">
        <v>4405</v>
      </c>
      <c r="Y190" s="79" t="s">
        <v>4406</v>
      </c>
      <c r="Z190" s="79" t="s">
        <v>4407</v>
      </c>
      <c r="AA190" s="79" t="s">
        <v>4408</v>
      </c>
      <c r="AB190" s="81" t="s">
        <v>4409</v>
      </c>
    </row>
    <row r="191" spans="1:28" x14ac:dyDescent="0.25">
      <c r="A191" s="27" t="s">
        <v>356</v>
      </c>
      <c r="B191" s="9" t="str">
        <f t="shared" si="14"/>
        <v>La longitud máxima es de 2 500 caracteres.</v>
      </c>
      <c r="D191" s="78" t="s">
        <v>2948</v>
      </c>
      <c r="E191" s="79" t="s">
        <v>2949</v>
      </c>
      <c r="F191" s="80" t="s">
        <v>2950</v>
      </c>
      <c r="G191" s="80" t="s">
        <v>2951</v>
      </c>
      <c r="H191" s="79" t="s">
        <v>2952</v>
      </c>
      <c r="I191" s="61" t="s">
        <v>357</v>
      </c>
      <c r="J191" s="79" t="s">
        <v>4410</v>
      </c>
      <c r="K191" s="79" t="s">
        <v>4411</v>
      </c>
      <c r="L191" s="79" t="s">
        <v>4412</v>
      </c>
      <c r="M191" s="79" t="s">
        <v>4413</v>
      </c>
      <c r="N191" s="79"/>
      <c r="O191" s="79" t="s">
        <v>4414</v>
      </c>
      <c r="P191" s="79" t="s">
        <v>4415</v>
      </c>
      <c r="Q191" s="79" t="s">
        <v>4416</v>
      </c>
      <c r="R191" s="79" t="s">
        <v>4417</v>
      </c>
      <c r="S191" s="79" t="s">
        <v>4418</v>
      </c>
      <c r="T191" s="79" t="s">
        <v>4419</v>
      </c>
      <c r="U191" s="79" t="s">
        <v>4420</v>
      </c>
      <c r="V191" s="80" t="s">
        <v>4421</v>
      </c>
      <c r="W191" s="79" t="s">
        <v>4422</v>
      </c>
      <c r="X191" s="79" t="s">
        <v>4423</v>
      </c>
      <c r="Y191" s="79" t="s">
        <v>4424</v>
      </c>
      <c r="Z191" s="79" t="s">
        <v>4425</v>
      </c>
      <c r="AA191" s="79" t="s">
        <v>4426</v>
      </c>
      <c r="AB191" s="81" t="s">
        <v>4427</v>
      </c>
    </row>
    <row r="192" spans="1:28" x14ac:dyDescent="0.25">
      <c r="A192" s="27" t="s">
        <v>358</v>
      </c>
      <c r="B192" s="9" t="str">
        <f t="shared" si="14"/>
        <v>La longitud máxima es de 500 caracteres.</v>
      </c>
      <c r="D192" s="78" t="s">
        <v>2953</v>
      </c>
      <c r="E192" s="79" t="s">
        <v>2954</v>
      </c>
      <c r="F192" s="80" t="s">
        <v>2955</v>
      </c>
      <c r="G192" s="80" t="s">
        <v>2956</v>
      </c>
      <c r="H192" s="79" t="s">
        <v>2957</v>
      </c>
      <c r="I192" s="61" t="s">
        <v>359</v>
      </c>
      <c r="J192" s="79" t="s">
        <v>4428</v>
      </c>
      <c r="K192" s="79" t="s">
        <v>4429</v>
      </c>
      <c r="L192" s="79" t="s">
        <v>4430</v>
      </c>
      <c r="M192" s="79" t="s">
        <v>4431</v>
      </c>
      <c r="N192" s="79"/>
      <c r="O192" s="79" t="s">
        <v>4432</v>
      </c>
      <c r="P192" s="79" t="s">
        <v>4433</v>
      </c>
      <c r="Q192" s="79" t="s">
        <v>4434</v>
      </c>
      <c r="R192" s="79" t="s">
        <v>4435</v>
      </c>
      <c r="S192" s="79" t="s">
        <v>4436</v>
      </c>
      <c r="T192" s="79" t="s">
        <v>4437</v>
      </c>
      <c r="U192" s="79" t="s">
        <v>4438</v>
      </c>
      <c r="V192" s="80" t="s">
        <v>4439</v>
      </c>
      <c r="W192" s="79" t="s">
        <v>4440</v>
      </c>
      <c r="X192" s="79" t="s">
        <v>4441</v>
      </c>
      <c r="Y192" s="79" t="s">
        <v>4442</v>
      </c>
      <c r="Z192" s="79" t="s">
        <v>4443</v>
      </c>
      <c r="AA192" s="79" t="s">
        <v>4444</v>
      </c>
      <c r="AB192" s="81" t="s">
        <v>4445</v>
      </c>
    </row>
    <row r="193" spans="1:28" x14ac:dyDescent="0.25">
      <c r="A193" s="27" t="s">
        <v>365</v>
      </c>
      <c r="B193" s="9" t="str">
        <f t="shared" si="14"/>
        <v>Identificador nacional del RNT.</v>
      </c>
      <c r="D193" s="78" t="s">
        <v>2958</v>
      </c>
      <c r="E193" s="79" t="s">
        <v>2785</v>
      </c>
      <c r="F193" s="80" t="s">
        <v>2959</v>
      </c>
      <c r="G193" s="80" t="s">
        <v>2787</v>
      </c>
      <c r="H193" s="79" t="s">
        <v>2960</v>
      </c>
      <c r="I193" s="61" t="s">
        <v>508</v>
      </c>
      <c r="J193" s="79" t="s">
        <v>4446</v>
      </c>
      <c r="K193" s="79" t="s">
        <v>4447</v>
      </c>
      <c r="L193" s="79" t="s">
        <v>3831</v>
      </c>
      <c r="M193" s="79" t="s">
        <v>4448</v>
      </c>
      <c r="N193" s="79"/>
      <c r="O193" s="79" t="s">
        <v>4449</v>
      </c>
      <c r="P193" s="79" t="s">
        <v>4450</v>
      </c>
      <c r="Q193" s="79" t="s">
        <v>4451</v>
      </c>
      <c r="R193" s="79" t="s">
        <v>4452</v>
      </c>
      <c r="S193" s="79" t="s">
        <v>4453</v>
      </c>
      <c r="T193" s="79" t="s">
        <v>4454</v>
      </c>
      <c r="U193" s="79" t="s">
        <v>3839</v>
      </c>
      <c r="V193" s="80" t="s">
        <v>4455</v>
      </c>
      <c r="W193" s="79" t="s">
        <v>4456</v>
      </c>
      <c r="X193" s="79" t="s">
        <v>4457</v>
      </c>
      <c r="Y193" s="79" t="s">
        <v>4458</v>
      </c>
      <c r="Z193" s="79" t="s">
        <v>4459</v>
      </c>
      <c r="AA193" s="79" t="s">
        <v>4460</v>
      </c>
      <c r="AB193" s="81" t="s">
        <v>3846</v>
      </c>
    </row>
    <row r="194" spans="1:28" x14ac:dyDescent="0.25">
      <c r="A194" s="27" t="s">
        <v>366</v>
      </c>
      <c r="B194" s="9" t="str">
        <f t="shared" si="14"/>
        <v>Rellene la hoja «Daños previstos». Debe cumplimentarse al menos una fila.</v>
      </c>
      <c r="D194" s="78" t="s">
        <v>2961</v>
      </c>
      <c r="E194" s="79" t="s">
        <v>2962</v>
      </c>
      <c r="F194" s="80" t="s">
        <v>2963</v>
      </c>
      <c r="G194" s="80" t="s">
        <v>2964</v>
      </c>
      <c r="H194" s="79" t="s">
        <v>2965</v>
      </c>
      <c r="I194" s="61" t="s">
        <v>367</v>
      </c>
      <c r="J194" s="79" t="s">
        <v>4461</v>
      </c>
      <c r="K194" s="79" t="s">
        <v>4462</v>
      </c>
      <c r="L194" s="79" t="s">
        <v>4463</v>
      </c>
      <c r="M194" s="79" t="s">
        <v>4464</v>
      </c>
      <c r="N194" s="79"/>
      <c r="O194" s="79" t="s">
        <v>4465</v>
      </c>
      <c r="P194" s="79" t="s">
        <v>4466</v>
      </c>
      <c r="Q194" s="79" t="s">
        <v>4467</v>
      </c>
      <c r="R194" s="79" t="s">
        <v>4468</v>
      </c>
      <c r="S194" s="79" t="s">
        <v>4469</v>
      </c>
      <c r="T194" s="79" t="s">
        <v>4470</v>
      </c>
      <c r="U194" s="79" t="s">
        <v>4471</v>
      </c>
      <c r="V194" s="80" t="s">
        <v>4472</v>
      </c>
      <c r="W194" s="79" t="s">
        <v>4473</v>
      </c>
      <c r="X194" s="79" t="s">
        <v>4474</v>
      </c>
      <c r="Y194" s="79" t="s">
        <v>4475</v>
      </c>
      <c r="Z194" s="79" t="s">
        <v>4476</v>
      </c>
      <c r="AA194" s="79" t="s">
        <v>4477</v>
      </c>
      <c r="AB194" s="81" t="s">
        <v>4478</v>
      </c>
    </row>
    <row r="195" spans="1:28" x14ac:dyDescent="0.25">
      <c r="A195" s="27" t="s">
        <v>368</v>
      </c>
      <c r="B195" s="9" t="str">
        <f t="shared" si="14"/>
        <v xml:space="preserve">Rellene la hoja «Destino de los animales mantenidos vivos», si procede. </v>
      </c>
      <c r="D195" s="78" t="s">
        <v>2966</v>
      </c>
      <c r="E195" s="79" t="s">
        <v>2967</v>
      </c>
      <c r="F195" s="80" t="s">
        <v>2968</v>
      </c>
      <c r="G195" s="80" t="s">
        <v>2969</v>
      </c>
      <c r="H195" s="79" t="s">
        <v>2970</v>
      </c>
      <c r="I195" s="61" t="s">
        <v>369</v>
      </c>
      <c r="J195" s="79" t="s">
        <v>4479</v>
      </c>
      <c r="K195" s="79" t="s">
        <v>4480</v>
      </c>
      <c r="L195" s="79" t="s">
        <v>4481</v>
      </c>
      <c r="M195" s="79" t="s">
        <v>4482</v>
      </c>
      <c r="N195" s="79"/>
      <c r="O195" s="79" t="s">
        <v>4483</v>
      </c>
      <c r="P195" s="79" t="s">
        <v>4484</v>
      </c>
      <c r="Q195" s="79" t="s">
        <v>4485</v>
      </c>
      <c r="R195" s="79" t="s">
        <v>4486</v>
      </c>
      <c r="S195" s="79" t="s">
        <v>4487</v>
      </c>
      <c r="T195" s="79" t="s">
        <v>4488</v>
      </c>
      <c r="U195" s="79" t="s">
        <v>4489</v>
      </c>
      <c r="V195" s="80" t="s">
        <v>4490</v>
      </c>
      <c r="W195" s="79" t="s">
        <v>4491</v>
      </c>
      <c r="X195" s="79" t="s">
        <v>4492</v>
      </c>
      <c r="Y195" s="79" t="s">
        <v>4493</v>
      </c>
      <c r="Z195" s="79" t="s">
        <v>4494</v>
      </c>
      <c r="AA195" s="79" t="s">
        <v>4495</v>
      </c>
      <c r="AB195" s="81" t="s">
        <v>4496</v>
      </c>
    </row>
    <row r="196" spans="1:28" x14ac:dyDescent="0.25">
      <c r="A196" s="27" t="s">
        <v>370</v>
      </c>
      <c r="B196" s="9" t="str">
        <f t="shared" si="14"/>
        <v>Formato dd-mm-aaaa o dd/mm/aaaa en función de la configuración de su sistema (por ejemplo, 27-05-2022 o 27/05/2022)</v>
      </c>
      <c r="D196" s="78" t="s">
        <v>2971</v>
      </c>
      <c r="E196" s="79" t="s">
        <v>2972</v>
      </c>
      <c r="F196" s="80" t="s">
        <v>2973</v>
      </c>
      <c r="G196" s="80" t="s">
        <v>2974</v>
      </c>
      <c r="H196" s="79" t="s">
        <v>2975</v>
      </c>
      <c r="I196" s="61" t="s">
        <v>549</v>
      </c>
      <c r="J196" s="79" t="s">
        <v>4497</v>
      </c>
      <c r="K196" s="79" t="s">
        <v>4498</v>
      </c>
      <c r="L196" s="79" t="s">
        <v>4499</v>
      </c>
      <c r="M196" s="79" t="s">
        <v>4500</v>
      </c>
      <c r="N196" s="79"/>
      <c r="O196" s="79" t="s">
        <v>4501</v>
      </c>
      <c r="P196" s="79" t="s">
        <v>4502</v>
      </c>
      <c r="Q196" s="79" t="s">
        <v>4503</v>
      </c>
      <c r="R196" s="79" t="s">
        <v>4504</v>
      </c>
      <c r="S196" s="79" t="s">
        <v>4505</v>
      </c>
      <c r="T196" s="79" t="s">
        <v>4506</v>
      </c>
      <c r="U196" s="79" t="s">
        <v>4507</v>
      </c>
      <c r="V196" s="80" t="s">
        <v>4508</v>
      </c>
      <c r="W196" s="79" t="s">
        <v>4509</v>
      </c>
      <c r="X196" s="79" t="s">
        <v>4510</v>
      </c>
      <c r="Y196" s="79" t="s">
        <v>4511</v>
      </c>
      <c r="Z196" s="79" t="s">
        <v>4512</v>
      </c>
      <c r="AA196" s="79" t="s">
        <v>4513</v>
      </c>
      <c r="AB196" s="81" t="s">
        <v>4514</v>
      </c>
    </row>
    <row r="197" spans="1:28" x14ac:dyDescent="0.25">
      <c r="A197" s="27" t="s">
        <v>386</v>
      </c>
      <c r="B197" s="9" t="str">
        <f t="shared" si="14"/>
        <v>Campos adicionales</v>
      </c>
      <c r="D197" s="78" t="s">
        <v>2976</v>
      </c>
      <c r="E197" s="79" t="s">
        <v>2977</v>
      </c>
      <c r="F197" s="80" t="s">
        <v>2978</v>
      </c>
      <c r="G197" s="80" t="s">
        <v>2979</v>
      </c>
      <c r="H197" s="79" t="s">
        <v>2980</v>
      </c>
      <c r="I197" s="61" t="s">
        <v>387</v>
      </c>
      <c r="J197" s="79" t="s">
        <v>4515</v>
      </c>
      <c r="K197" s="79" t="s">
        <v>4516</v>
      </c>
      <c r="L197" s="79" t="s">
        <v>4517</v>
      </c>
      <c r="M197" s="79" t="s">
        <v>4518</v>
      </c>
      <c r="N197" s="79"/>
      <c r="O197" s="79" t="s">
        <v>4519</v>
      </c>
      <c r="P197" s="79" t="s">
        <v>4520</v>
      </c>
      <c r="Q197" s="79" t="s">
        <v>4521</v>
      </c>
      <c r="R197" s="79" t="s">
        <v>4522</v>
      </c>
      <c r="S197" s="79" t="s">
        <v>4523</v>
      </c>
      <c r="T197" s="79" t="s">
        <v>4524</v>
      </c>
      <c r="U197" s="79" t="s">
        <v>4525</v>
      </c>
      <c r="V197" s="80" t="s">
        <v>4526</v>
      </c>
      <c r="W197" s="79" t="s">
        <v>4527</v>
      </c>
      <c r="X197" s="79" t="s">
        <v>4528</v>
      </c>
      <c r="Y197" s="79" t="s">
        <v>4529</v>
      </c>
      <c r="Z197" s="79" t="s">
        <v>4519</v>
      </c>
      <c r="AA197" s="79" t="s">
        <v>4530</v>
      </c>
      <c r="AB197" s="81" t="s">
        <v>4531</v>
      </c>
    </row>
    <row r="198" spans="1:28" x14ac:dyDescent="0.25">
      <c r="A198" s="27" t="s">
        <v>388</v>
      </c>
      <c r="B198" s="9" t="str">
        <f t="shared" si="14"/>
        <v>El hecho de que el ámbito de que se trate sea aplicable o no depende de las normas nacionales.</v>
      </c>
      <c r="D198" s="78" t="s">
        <v>2981</v>
      </c>
      <c r="E198" s="79" t="s">
        <v>2982</v>
      </c>
      <c r="F198" s="80" t="s">
        <v>2983</v>
      </c>
      <c r="G198" s="80" t="s">
        <v>2984</v>
      </c>
      <c r="H198" s="79" t="s">
        <v>2985</v>
      </c>
      <c r="I198" s="61" t="s">
        <v>394</v>
      </c>
      <c r="J198" s="79" t="s">
        <v>4532</v>
      </c>
      <c r="K198" s="79" t="s">
        <v>4533</v>
      </c>
      <c r="L198" s="79" t="s">
        <v>4534</v>
      </c>
      <c r="M198" s="79" t="s">
        <v>4535</v>
      </c>
      <c r="N198" s="79"/>
      <c r="O198" s="79" t="s">
        <v>4536</v>
      </c>
      <c r="P198" s="79" t="s">
        <v>4537</v>
      </c>
      <c r="Q198" s="79" t="s">
        <v>4538</v>
      </c>
      <c r="R198" s="79" t="s">
        <v>4539</v>
      </c>
      <c r="S198" s="79" t="s">
        <v>4540</v>
      </c>
      <c r="T198" s="79" t="s">
        <v>4541</v>
      </c>
      <c r="U198" s="79" t="s">
        <v>4542</v>
      </c>
      <c r="V198" s="80" t="s">
        <v>4543</v>
      </c>
      <c r="W198" s="79" t="s">
        <v>4544</v>
      </c>
      <c r="X198" s="79" t="s">
        <v>4545</v>
      </c>
      <c r="Y198" s="79" t="s">
        <v>4546</v>
      </c>
      <c r="Z198" s="79" t="s">
        <v>4547</v>
      </c>
      <c r="AA198" s="79" t="s">
        <v>4548</v>
      </c>
      <c r="AB198" s="81" t="s">
        <v>4549</v>
      </c>
    </row>
    <row r="199" spans="1:28" x14ac:dyDescent="0.25">
      <c r="A199" s="27" t="s">
        <v>389</v>
      </c>
      <c r="B199" s="9" t="str">
        <f t="shared" si="14"/>
        <v>Fecha de inicio del proyecto</v>
      </c>
      <c r="D199" s="78" t="s">
        <v>2986</v>
      </c>
      <c r="E199" s="79" t="s">
        <v>2987</v>
      </c>
      <c r="F199" s="80" t="s">
        <v>2988</v>
      </c>
      <c r="G199" s="80" t="s">
        <v>2989</v>
      </c>
      <c r="H199" s="79" t="s">
        <v>2990</v>
      </c>
      <c r="I199" s="61" t="s">
        <v>390</v>
      </c>
      <c r="J199" s="79" t="s">
        <v>4550</v>
      </c>
      <c r="K199" s="79" t="s">
        <v>4551</v>
      </c>
      <c r="L199" s="79" t="s">
        <v>4552</v>
      </c>
      <c r="M199" s="79" t="s">
        <v>4553</v>
      </c>
      <c r="N199" s="79"/>
      <c r="O199" s="79" t="s">
        <v>4554</v>
      </c>
      <c r="P199" s="79" t="s">
        <v>4555</v>
      </c>
      <c r="Q199" s="79" t="s">
        <v>4556</v>
      </c>
      <c r="R199" s="79" t="s">
        <v>4557</v>
      </c>
      <c r="S199" s="79" t="s">
        <v>4558</v>
      </c>
      <c r="T199" s="79" t="s">
        <v>4559</v>
      </c>
      <c r="U199" s="79" t="s">
        <v>4560</v>
      </c>
      <c r="V199" s="80" t="s">
        <v>4561</v>
      </c>
      <c r="W199" s="79" t="s">
        <v>4562</v>
      </c>
      <c r="X199" s="79" t="s">
        <v>4563</v>
      </c>
      <c r="Y199" s="79" t="s">
        <v>4564</v>
      </c>
      <c r="Z199" s="79" t="s">
        <v>4565</v>
      </c>
      <c r="AA199" s="79" t="s">
        <v>4566</v>
      </c>
      <c r="AB199" s="81" t="s">
        <v>4567</v>
      </c>
    </row>
    <row r="200" spans="1:28" x14ac:dyDescent="0.25">
      <c r="A200" s="27" t="s">
        <v>395</v>
      </c>
      <c r="B200" s="9" t="str">
        <f t="shared" ref="B200" si="16">IF(TRIM(HLOOKUP(language_or_default,textTranslations,MATCH(A200,text,0),FALSE))="",HLOOKUP("en",textTranslations,MATCH(A200,text,0),FALSE),HLOOKUP(language_or_default,textTranslations,MATCH(A200,text,0),FALSE))</f>
        <v>Fecha de finalización del proyecto</v>
      </c>
      <c r="D200" s="78" t="s">
        <v>2991</v>
      </c>
      <c r="E200" s="79" t="s">
        <v>2992</v>
      </c>
      <c r="F200" s="80" t="s">
        <v>2993</v>
      </c>
      <c r="G200" s="80" t="s">
        <v>2994</v>
      </c>
      <c r="H200" s="79" t="s">
        <v>2995</v>
      </c>
      <c r="I200" s="61" t="s">
        <v>396</v>
      </c>
      <c r="J200" s="79" t="s">
        <v>4568</v>
      </c>
      <c r="K200" s="79" t="s">
        <v>4569</v>
      </c>
      <c r="L200" s="79" t="s">
        <v>4570</v>
      </c>
      <c r="M200" s="79" t="s">
        <v>4571</v>
      </c>
      <c r="N200" s="79"/>
      <c r="O200" s="79" t="s">
        <v>4572</v>
      </c>
      <c r="P200" s="79" t="s">
        <v>4573</v>
      </c>
      <c r="Q200" s="79" t="s">
        <v>4574</v>
      </c>
      <c r="R200" s="79" t="s">
        <v>4575</v>
      </c>
      <c r="S200" s="79" t="s">
        <v>4576</v>
      </c>
      <c r="T200" s="79" t="s">
        <v>4577</v>
      </c>
      <c r="U200" s="79" t="s">
        <v>4578</v>
      </c>
      <c r="V200" s="80" t="s">
        <v>4579</v>
      </c>
      <c r="W200" s="79" t="s">
        <v>4580</v>
      </c>
      <c r="X200" s="79" t="s">
        <v>4581</v>
      </c>
      <c r="Y200" s="79" t="s">
        <v>4582</v>
      </c>
      <c r="Z200" s="79" t="s">
        <v>4583</v>
      </c>
      <c r="AA200" s="79" t="s">
        <v>4584</v>
      </c>
      <c r="AB200" s="81" t="s">
        <v>4585</v>
      </c>
    </row>
    <row r="201" spans="1:28" x14ac:dyDescent="0.25">
      <c r="A201" s="27" t="s">
        <v>399</v>
      </c>
      <c r="B201" s="9" t="str">
        <f t="shared" si="14"/>
        <v>Fecha de aprobación del proyecto</v>
      </c>
      <c r="D201" s="78" t="s">
        <v>2996</v>
      </c>
      <c r="E201" s="79" t="s">
        <v>2997</v>
      </c>
      <c r="F201" s="80" t="s">
        <v>2998</v>
      </c>
      <c r="G201" s="80" t="s">
        <v>2999</v>
      </c>
      <c r="H201" s="79" t="s">
        <v>3000</v>
      </c>
      <c r="I201" s="61" t="s">
        <v>400</v>
      </c>
      <c r="J201" s="79" t="s">
        <v>4586</v>
      </c>
      <c r="K201" s="79" t="s">
        <v>4587</v>
      </c>
      <c r="L201" s="79" t="s">
        <v>4588</v>
      </c>
      <c r="M201" s="79" t="s">
        <v>4589</v>
      </c>
      <c r="N201" s="79"/>
      <c r="O201" s="79" t="s">
        <v>4590</v>
      </c>
      <c r="P201" s="79" t="s">
        <v>4591</v>
      </c>
      <c r="Q201" s="79" t="s">
        <v>4592</v>
      </c>
      <c r="R201" s="79" t="s">
        <v>4593</v>
      </c>
      <c r="S201" s="79" t="s">
        <v>4594</v>
      </c>
      <c r="T201" s="79" t="s">
        <v>4595</v>
      </c>
      <c r="U201" s="79" t="s">
        <v>4596</v>
      </c>
      <c r="V201" s="80" t="s">
        <v>4597</v>
      </c>
      <c r="W201" s="79" t="s">
        <v>4598</v>
      </c>
      <c r="X201" s="79" t="s">
        <v>4599</v>
      </c>
      <c r="Y201" s="79" t="s">
        <v>4600</v>
      </c>
      <c r="Z201" s="79" t="s">
        <v>4601</v>
      </c>
      <c r="AA201" s="79" t="s">
        <v>4602</v>
      </c>
      <c r="AB201" s="81" t="s">
        <v>4603</v>
      </c>
    </row>
    <row r="202" spans="1:28" x14ac:dyDescent="0.25">
      <c r="A202" s="27" t="s">
        <v>401</v>
      </c>
      <c r="B202" s="9" t="str">
        <f t="shared" si="14"/>
        <v>Código ICD</v>
      </c>
      <c r="D202" s="78" t="s">
        <v>3001</v>
      </c>
      <c r="E202" s="79" t="s">
        <v>3002</v>
      </c>
      <c r="F202" s="80" t="s">
        <v>3003</v>
      </c>
      <c r="G202" s="80" t="s">
        <v>3004</v>
      </c>
      <c r="H202" s="79" t="s">
        <v>3005</v>
      </c>
      <c r="I202" s="61" t="s">
        <v>402</v>
      </c>
      <c r="J202" s="79" t="s">
        <v>4604</v>
      </c>
      <c r="K202" s="79" t="s">
        <v>4605</v>
      </c>
      <c r="L202" s="79" t="s">
        <v>4606</v>
      </c>
      <c r="M202" s="79" t="s">
        <v>4607</v>
      </c>
      <c r="N202" s="79"/>
      <c r="O202" s="79" t="s">
        <v>4608</v>
      </c>
      <c r="P202" s="79" t="s">
        <v>4609</v>
      </c>
      <c r="Q202" s="79" t="s">
        <v>4610</v>
      </c>
      <c r="R202" s="79" t="s">
        <v>4611</v>
      </c>
      <c r="S202" s="79" t="s">
        <v>4612</v>
      </c>
      <c r="T202" s="79" t="s">
        <v>4613</v>
      </c>
      <c r="U202" s="79" t="s">
        <v>4614</v>
      </c>
      <c r="V202" s="80" t="s">
        <v>4615</v>
      </c>
      <c r="W202" s="79" t="s">
        <v>4616</v>
      </c>
      <c r="X202" s="79" t="s">
        <v>4617</v>
      </c>
      <c r="Y202" s="79" t="s">
        <v>4618</v>
      </c>
      <c r="Z202" s="79" t="s">
        <v>4619</v>
      </c>
      <c r="AA202" s="79" t="s">
        <v>4620</v>
      </c>
      <c r="AB202" s="81" t="s">
        <v>3003</v>
      </c>
    </row>
    <row r="203" spans="1:28" x14ac:dyDescent="0.25">
      <c r="A203" s="27" t="s">
        <v>494</v>
      </c>
      <c r="B203" s="9" t="str">
        <f t="shared" si="14"/>
        <v>Campo nacional 1</v>
      </c>
      <c r="D203" s="78" t="s">
        <v>3006</v>
      </c>
      <c r="E203" s="79" t="s">
        <v>3007</v>
      </c>
      <c r="F203" s="80" t="s">
        <v>3008</v>
      </c>
      <c r="G203" s="80" t="s">
        <v>3009</v>
      </c>
      <c r="H203" s="79" t="s">
        <v>3010</v>
      </c>
      <c r="I203" s="61" t="s">
        <v>556</v>
      </c>
      <c r="J203" s="79" t="s">
        <v>4621</v>
      </c>
      <c r="K203" s="79" t="s">
        <v>4622</v>
      </c>
      <c r="L203" s="79" t="s">
        <v>4623</v>
      </c>
      <c r="M203" s="79" t="s">
        <v>4624</v>
      </c>
      <c r="N203" s="79"/>
      <c r="O203" s="79" t="s">
        <v>4625</v>
      </c>
      <c r="P203" s="79" t="s">
        <v>4626</v>
      </c>
      <c r="Q203" s="79" t="s">
        <v>4627</v>
      </c>
      <c r="R203" s="79" t="s">
        <v>4628</v>
      </c>
      <c r="S203" s="79" t="s">
        <v>4629</v>
      </c>
      <c r="T203" s="79" t="s">
        <v>4630</v>
      </c>
      <c r="U203" s="79" t="s">
        <v>4631</v>
      </c>
      <c r="V203" s="80" t="s">
        <v>4632</v>
      </c>
      <c r="W203" s="79" t="s">
        <v>4621</v>
      </c>
      <c r="X203" s="79" t="s">
        <v>4633</v>
      </c>
      <c r="Y203" s="79" t="s">
        <v>4634</v>
      </c>
      <c r="Z203" s="79" t="s">
        <v>4625</v>
      </c>
      <c r="AA203" s="79" t="s">
        <v>4635</v>
      </c>
      <c r="AB203" s="81" t="s">
        <v>4636</v>
      </c>
    </row>
    <row r="204" spans="1:28" x14ac:dyDescent="0.25">
      <c r="A204" s="27" t="s">
        <v>495</v>
      </c>
      <c r="B204" s="9" t="str">
        <f t="shared" si="14"/>
        <v>Campo nacional 2</v>
      </c>
      <c r="D204" s="78" t="s">
        <v>3011</v>
      </c>
      <c r="E204" s="79" t="s">
        <v>3012</v>
      </c>
      <c r="F204" s="80" t="s">
        <v>3013</v>
      </c>
      <c r="G204" s="80" t="s">
        <v>3014</v>
      </c>
      <c r="H204" s="79" t="s">
        <v>3015</v>
      </c>
      <c r="I204" s="61" t="s">
        <v>557</v>
      </c>
      <c r="J204" s="79" t="s">
        <v>4637</v>
      </c>
      <c r="K204" s="79" t="s">
        <v>4638</v>
      </c>
      <c r="L204" s="79" t="s">
        <v>4639</v>
      </c>
      <c r="M204" s="79" t="s">
        <v>4640</v>
      </c>
      <c r="N204" s="79"/>
      <c r="O204" s="79" t="s">
        <v>4641</v>
      </c>
      <c r="P204" s="79" t="s">
        <v>4642</v>
      </c>
      <c r="Q204" s="79" t="s">
        <v>4643</v>
      </c>
      <c r="R204" s="79" t="s">
        <v>4644</v>
      </c>
      <c r="S204" s="79" t="s">
        <v>4645</v>
      </c>
      <c r="T204" s="79" t="s">
        <v>4646</v>
      </c>
      <c r="U204" s="79" t="s">
        <v>4647</v>
      </c>
      <c r="V204" s="80" t="s">
        <v>4648</v>
      </c>
      <c r="W204" s="79" t="s">
        <v>4637</v>
      </c>
      <c r="X204" s="79" t="s">
        <v>4649</v>
      </c>
      <c r="Y204" s="79" t="s">
        <v>4650</v>
      </c>
      <c r="Z204" s="79" t="s">
        <v>4641</v>
      </c>
      <c r="AA204" s="79" t="s">
        <v>4651</v>
      </c>
      <c r="AB204" s="81" t="s">
        <v>4652</v>
      </c>
    </row>
    <row r="205" spans="1:28" x14ac:dyDescent="0.25">
      <c r="A205" s="27" t="s">
        <v>496</v>
      </c>
      <c r="B205" s="9" t="str">
        <f t="shared" si="14"/>
        <v>Campo nacional 3</v>
      </c>
      <c r="D205" s="78" t="s">
        <v>3016</v>
      </c>
      <c r="E205" s="79" t="s">
        <v>3017</v>
      </c>
      <c r="F205" s="80" t="s">
        <v>3018</v>
      </c>
      <c r="G205" s="80" t="s">
        <v>3019</v>
      </c>
      <c r="H205" s="79" t="s">
        <v>3020</v>
      </c>
      <c r="I205" s="61" t="s">
        <v>558</v>
      </c>
      <c r="J205" s="79" t="s">
        <v>4653</v>
      </c>
      <c r="K205" s="79" t="s">
        <v>4654</v>
      </c>
      <c r="L205" s="79" t="s">
        <v>4655</v>
      </c>
      <c r="M205" s="79" t="s">
        <v>4656</v>
      </c>
      <c r="N205" s="79"/>
      <c r="O205" s="79" t="s">
        <v>4657</v>
      </c>
      <c r="P205" s="79" t="s">
        <v>4658</v>
      </c>
      <c r="Q205" s="79" t="s">
        <v>4659</v>
      </c>
      <c r="R205" s="79" t="s">
        <v>4660</v>
      </c>
      <c r="S205" s="79" t="s">
        <v>4661</v>
      </c>
      <c r="T205" s="79" t="s">
        <v>4662</v>
      </c>
      <c r="U205" s="79" t="s">
        <v>4663</v>
      </c>
      <c r="V205" s="80" t="s">
        <v>4664</v>
      </c>
      <c r="W205" s="79" t="s">
        <v>4653</v>
      </c>
      <c r="X205" s="79" t="s">
        <v>4665</v>
      </c>
      <c r="Y205" s="79" t="s">
        <v>4666</v>
      </c>
      <c r="Z205" s="79" t="s">
        <v>4657</v>
      </c>
      <c r="AA205" s="79" t="s">
        <v>4667</v>
      </c>
      <c r="AB205" s="81" t="s">
        <v>4668</v>
      </c>
    </row>
    <row r="206" spans="1:28" x14ac:dyDescent="0.25">
      <c r="A206" s="27" t="s">
        <v>503</v>
      </c>
      <c r="B206" s="9" t="str">
        <f t="shared" si="14"/>
        <v>Campo nacional 4</v>
      </c>
      <c r="D206" s="78" t="s">
        <v>3021</v>
      </c>
      <c r="E206" s="79" t="s">
        <v>3022</v>
      </c>
      <c r="F206" s="80" t="s">
        <v>3023</v>
      </c>
      <c r="G206" s="80" t="s">
        <v>3024</v>
      </c>
      <c r="H206" s="79" t="s">
        <v>3025</v>
      </c>
      <c r="I206" s="61" t="s">
        <v>559</v>
      </c>
      <c r="J206" s="79" t="s">
        <v>4669</v>
      </c>
      <c r="K206" s="79" t="s">
        <v>4670</v>
      </c>
      <c r="L206" s="79" t="s">
        <v>4671</v>
      </c>
      <c r="M206" s="79" t="s">
        <v>4672</v>
      </c>
      <c r="N206" s="79"/>
      <c r="O206" s="79" t="s">
        <v>4673</v>
      </c>
      <c r="P206" s="79" t="s">
        <v>4674</v>
      </c>
      <c r="Q206" s="79" t="s">
        <v>4675</v>
      </c>
      <c r="R206" s="79" t="s">
        <v>4676</v>
      </c>
      <c r="S206" s="79" t="s">
        <v>4677</v>
      </c>
      <c r="T206" s="79" t="s">
        <v>4678</v>
      </c>
      <c r="U206" s="79" t="s">
        <v>4679</v>
      </c>
      <c r="V206" s="80" t="s">
        <v>4680</v>
      </c>
      <c r="W206" s="79" t="s">
        <v>4669</v>
      </c>
      <c r="X206" s="79" t="s">
        <v>4681</v>
      </c>
      <c r="Y206" s="79" t="s">
        <v>4682</v>
      </c>
      <c r="Z206" s="79" t="s">
        <v>4673</v>
      </c>
      <c r="AA206" s="79" t="s">
        <v>4683</v>
      </c>
      <c r="AB206" s="81" t="s">
        <v>4684</v>
      </c>
    </row>
    <row r="207" spans="1:28" x14ac:dyDescent="0.25">
      <c r="A207" s="27" t="s">
        <v>504</v>
      </c>
      <c r="B207" s="9" t="str">
        <f t="shared" si="14"/>
        <v>Campo nacional 5</v>
      </c>
      <c r="D207" s="78" t="s">
        <v>3026</v>
      </c>
      <c r="E207" s="79" t="s">
        <v>3027</v>
      </c>
      <c r="F207" s="80" t="s">
        <v>3028</v>
      </c>
      <c r="G207" s="80" t="s">
        <v>3029</v>
      </c>
      <c r="H207" s="79" t="s">
        <v>3030</v>
      </c>
      <c r="I207" s="61" t="s">
        <v>560</v>
      </c>
      <c r="J207" s="79" t="s">
        <v>4685</v>
      </c>
      <c r="K207" s="79" t="s">
        <v>4686</v>
      </c>
      <c r="L207" s="79" t="s">
        <v>4687</v>
      </c>
      <c r="M207" s="79" t="s">
        <v>4688</v>
      </c>
      <c r="N207" s="79"/>
      <c r="O207" s="79" t="s">
        <v>4689</v>
      </c>
      <c r="P207" s="79" t="s">
        <v>4690</v>
      </c>
      <c r="Q207" s="79" t="s">
        <v>4691</v>
      </c>
      <c r="R207" s="79" t="s">
        <v>4692</v>
      </c>
      <c r="S207" s="79" t="s">
        <v>4693</v>
      </c>
      <c r="T207" s="79" t="s">
        <v>4694</v>
      </c>
      <c r="U207" s="79" t="s">
        <v>4695</v>
      </c>
      <c r="V207" s="80" t="s">
        <v>4696</v>
      </c>
      <c r="W207" s="79" t="s">
        <v>4685</v>
      </c>
      <c r="X207" s="79" t="s">
        <v>4697</v>
      </c>
      <c r="Y207" s="79" t="s">
        <v>4698</v>
      </c>
      <c r="Z207" s="79" t="s">
        <v>4689</v>
      </c>
      <c r="AA207" s="79" t="s">
        <v>4699</v>
      </c>
      <c r="AB207" s="81" t="s">
        <v>4700</v>
      </c>
    </row>
    <row r="208" spans="1:28" x14ac:dyDescent="0.25">
      <c r="A208" s="27" t="s">
        <v>493</v>
      </c>
      <c r="B208" s="9" t="str">
        <f t="shared" ref="B208" si="17">IF(TRIM(HLOOKUP(language_or_default,textTranslations,MATCH(A208,text,0),FALSE))="",HLOOKUP("en",textTranslations,MATCH(A208,text,0),FALSE),HLOOKUP(language_or_default,textTranslations,MATCH(A208,text,0),FALSE))</f>
        <v>Rellene la hoja «Finalidad del proyecto».</v>
      </c>
      <c r="D208" s="78" t="s">
        <v>3031</v>
      </c>
      <c r="E208" s="79" t="s">
        <v>3032</v>
      </c>
      <c r="F208" s="80" t="s">
        <v>3033</v>
      </c>
      <c r="G208" s="80" t="s">
        <v>3034</v>
      </c>
      <c r="H208" s="79" t="s">
        <v>3035</v>
      </c>
      <c r="I208" s="61" t="s">
        <v>561</v>
      </c>
      <c r="J208" s="79" t="s">
        <v>4701</v>
      </c>
      <c r="K208" s="79" t="s">
        <v>4702</v>
      </c>
      <c r="L208" s="79" t="s">
        <v>4703</v>
      </c>
      <c r="M208" s="79" t="s">
        <v>4704</v>
      </c>
      <c r="N208" s="79"/>
      <c r="O208" s="79" t="s">
        <v>4705</v>
      </c>
      <c r="P208" s="79" t="s">
        <v>4706</v>
      </c>
      <c r="Q208" s="79" t="s">
        <v>4707</v>
      </c>
      <c r="R208" s="79" t="s">
        <v>4708</v>
      </c>
      <c r="S208" s="79" t="s">
        <v>4709</v>
      </c>
      <c r="T208" s="79" t="s">
        <v>4710</v>
      </c>
      <c r="U208" s="79" t="s">
        <v>4711</v>
      </c>
      <c r="V208" s="80" t="s">
        <v>4712</v>
      </c>
      <c r="W208" s="79" t="s">
        <v>4713</v>
      </c>
      <c r="X208" s="79" t="s">
        <v>4714</v>
      </c>
      <c r="Y208" s="79" t="s">
        <v>4715</v>
      </c>
      <c r="Z208" s="79" t="s">
        <v>4716</v>
      </c>
      <c r="AA208" s="79" t="s">
        <v>4717</v>
      </c>
      <c r="AB208" s="81" t="s">
        <v>4718</v>
      </c>
    </row>
    <row r="209" spans="1:28" x14ac:dyDescent="0.25">
      <c r="A209" s="27" t="s">
        <v>498</v>
      </c>
      <c r="B209" s="9" t="str">
        <f t="shared" si="14"/>
        <v>(en meses)</v>
      </c>
      <c r="D209" s="78" t="s">
        <v>3036</v>
      </c>
      <c r="E209" s="79" t="s">
        <v>3037</v>
      </c>
      <c r="F209" s="80" t="s">
        <v>3038</v>
      </c>
      <c r="G209" s="80" t="s">
        <v>3039</v>
      </c>
      <c r="H209" s="79" t="s">
        <v>3040</v>
      </c>
      <c r="I209" s="61" t="s">
        <v>551</v>
      </c>
      <c r="J209" s="79" t="s">
        <v>4719</v>
      </c>
      <c r="K209" s="79" t="s">
        <v>4720</v>
      </c>
      <c r="L209" s="79" t="s">
        <v>4721</v>
      </c>
      <c r="M209" s="79" t="s">
        <v>4722</v>
      </c>
      <c r="N209" s="79"/>
      <c r="O209" s="79" t="s">
        <v>4723</v>
      </c>
      <c r="P209" s="79" t="s">
        <v>4724</v>
      </c>
      <c r="Q209" s="79" t="s">
        <v>4725</v>
      </c>
      <c r="R209" s="79" t="s">
        <v>4726</v>
      </c>
      <c r="S209" s="79" t="s">
        <v>4727</v>
      </c>
      <c r="T209" s="79" t="s">
        <v>4728</v>
      </c>
      <c r="U209" s="79" t="s">
        <v>4729</v>
      </c>
      <c r="V209" s="80" t="s">
        <v>4730</v>
      </c>
      <c r="W209" s="79" t="s">
        <v>4731</v>
      </c>
      <c r="X209" s="79" t="s">
        <v>4732</v>
      </c>
      <c r="Y209" s="79" t="s">
        <v>4733</v>
      </c>
      <c r="Z209" s="79" t="s">
        <v>4734</v>
      </c>
      <c r="AA209" s="79" t="s">
        <v>4735</v>
      </c>
      <c r="AB209" s="81" t="s">
        <v>3038</v>
      </c>
    </row>
    <row r="210" spans="1:28" x14ac:dyDescent="0.25">
      <c r="A210" s="27" t="s">
        <v>501</v>
      </c>
      <c r="B210" s="9" t="str">
        <f t="shared" si="14"/>
        <v>Puede constar de más de una palabra.</v>
      </c>
      <c r="D210" s="78" t="s">
        <v>3041</v>
      </c>
      <c r="E210" s="79" t="s">
        <v>3042</v>
      </c>
      <c r="F210" s="80" t="s">
        <v>3043</v>
      </c>
      <c r="G210" s="80" t="s">
        <v>3044</v>
      </c>
      <c r="H210" s="79" t="s">
        <v>3045</v>
      </c>
      <c r="I210" s="61" t="s">
        <v>502</v>
      </c>
      <c r="J210" s="79" t="s">
        <v>4736</v>
      </c>
      <c r="K210" s="79" t="s">
        <v>4737</v>
      </c>
      <c r="L210" s="79" t="s">
        <v>4738</v>
      </c>
      <c r="M210" s="79" t="s">
        <v>4739</v>
      </c>
      <c r="N210" s="79"/>
      <c r="O210" s="79" t="s">
        <v>4740</v>
      </c>
      <c r="P210" s="79" t="s">
        <v>4741</v>
      </c>
      <c r="Q210" s="79" t="s">
        <v>4742</v>
      </c>
      <c r="R210" s="79" t="s">
        <v>4743</v>
      </c>
      <c r="S210" s="79" t="s">
        <v>4744</v>
      </c>
      <c r="T210" s="79" t="s">
        <v>4745</v>
      </c>
      <c r="U210" s="79" t="s">
        <v>4746</v>
      </c>
      <c r="V210" s="80" t="s">
        <v>4747</v>
      </c>
      <c r="W210" s="79" t="s">
        <v>4748</v>
      </c>
      <c r="X210" s="79" t="s">
        <v>4749</v>
      </c>
      <c r="Y210" s="79" t="s">
        <v>4750</v>
      </c>
      <c r="Z210" s="79" t="s">
        <v>4751</v>
      </c>
      <c r="AA210" s="79" t="s">
        <v>4752</v>
      </c>
      <c r="AB210" s="81" t="s">
        <v>4753</v>
      </c>
    </row>
    <row r="211" spans="1:28" x14ac:dyDescent="0.25">
      <c r="A211" s="27" t="s">
        <v>505</v>
      </c>
      <c r="B211" s="9" t="str">
        <f t="shared" si="14"/>
        <v>Rellene todas las categorías con números enteros (0 o más).</v>
      </c>
      <c r="D211" s="78" t="s">
        <v>3046</v>
      </c>
      <c r="E211" s="79" t="s">
        <v>3047</v>
      </c>
      <c r="F211" s="80" t="s">
        <v>3048</v>
      </c>
      <c r="G211" s="80" t="s">
        <v>3049</v>
      </c>
      <c r="H211" s="79" t="s">
        <v>3050</v>
      </c>
      <c r="I211" s="61" t="s">
        <v>506</v>
      </c>
      <c r="J211" s="79" t="s">
        <v>4754</v>
      </c>
      <c r="K211" s="79" t="s">
        <v>4755</v>
      </c>
      <c r="L211" s="79" t="s">
        <v>4756</v>
      </c>
      <c r="M211" s="79" t="s">
        <v>4757</v>
      </c>
      <c r="N211" s="79"/>
      <c r="O211" s="79" t="s">
        <v>4758</v>
      </c>
      <c r="P211" s="79" t="s">
        <v>4759</v>
      </c>
      <c r="Q211" s="79" t="s">
        <v>4760</v>
      </c>
      <c r="R211" s="79" t="s">
        <v>4761</v>
      </c>
      <c r="S211" s="79" t="s">
        <v>4762</v>
      </c>
      <c r="T211" s="79" t="s">
        <v>4763</v>
      </c>
      <c r="U211" s="79" t="s">
        <v>4764</v>
      </c>
      <c r="V211" s="80" t="s">
        <v>4765</v>
      </c>
      <c r="W211" s="79" t="s">
        <v>4766</v>
      </c>
      <c r="X211" s="79" t="s">
        <v>4767</v>
      </c>
      <c r="Y211" s="79" t="s">
        <v>4768</v>
      </c>
      <c r="Z211" s="79" t="s">
        <v>4769</v>
      </c>
      <c r="AA211" s="79" t="s">
        <v>4770</v>
      </c>
      <c r="AB211" s="81" t="s">
        <v>4771</v>
      </c>
    </row>
    <row r="212" spans="1:28" x14ac:dyDescent="0.25">
      <c r="A212" s="27" t="s">
        <v>513</v>
      </c>
      <c r="B212" s="9" t="str">
        <f t="shared" si="14"/>
        <v>Indíquese si el proyecto entra o no en el ámbito de aplicación de la Directiva.</v>
      </c>
      <c r="D212" s="78" t="s">
        <v>3051</v>
      </c>
      <c r="E212" s="79" t="s">
        <v>3052</v>
      </c>
      <c r="F212" s="80" t="s">
        <v>3053</v>
      </c>
      <c r="G212" s="80" t="s">
        <v>3054</v>
      </c>
      <c r="H212" s="79" t="s">
        <v>3055</v>
      </c>
      <c r="I212" s="61" t="s">
        <v>537</v>
      </c>
      <c r="J212" s="79" t="s">
        <v>4772</v>
      </c>
      <c r="K212" s="79" t="s">
        <v>4773</v>
      </c>
      <c r="L212" s="79" t="s">
        <v>4774</v>
      </c>
      <c r="M212" s="79" t="s">
        <v>4775</v>
      </c>
      <c r="N212" s="79"/>
      <c r="O212" s="79" t="s">
        <v>4776</v>
      </c>
      <c r="P212" s="79" t="s">
        <v>4777</v>
      </c>
      <c r="Q212" s="79" t="s">
        <v>4778</v>
      </c>
      <c r="R212" s="79" t="s">
        <v>4779</v>
      </c>
      <c r="S212" s="79" t="s">
        <v>4780</v>
      </c>
      <c r="T212" s="79" t="s">
        <v>4781</v>
      </c>
      <c r="U212" s="79" t="s">
        <v>4782</v>
      </c>
      <c r="V212" s="80" t="s">
        <v>4783</v>
      </c>
      <c r="W212" s="79" t="s">
        <v>4784</v>
      </c>
      <c r="X212" s="79" t="s">
        <v>4785</v>
      </c>
      <c r="Y212" s="79" t="s">
        <v>4786</v>
      </c>
      <c r="Z212" s="79" t="s">
        <v>4787</v>
      </c>
      <c r="AA212" s="79" t="s">
        <v>4788</v>
      </c>
      <c r="AB212" s="81" t="s">
        <v>4789</v>
      </c>
    </row>
    <row r="213" spans="1:28" x14ac:dyDescent="0.25">
      <c r="A213" s="27" t="s">
        <v>530</v>
      </c>
      <c r="B213" s="9" t="str">
        <f t="shared" ref="B213:B224" si="18">IF(TRIM(HLOOKUP(language_or_default,textTranslations,MATCH(A213,text,0),FALSE))="",HLOOKUP("en",textTranslations,MATCH(A213,text,0),FALSE),HLOOKUP(language_or_default,textTranslations,MATCH(A213,text,0),FALSE))</f>
        <v>Código de la Clasificación Internacional de Enfermedades (CIE).</v>
      </c>
      <c r="D213" s="78" t="s">
        <v>3056</v>
      </c>
      <c r="E213" s="79" t="s">
        <v>3057</v>
      </c>
      <c r="F213" s="80" t="s">
        <v>3058</v>
      </c>
      <c r="G213" s="80" t="s">
        <v>3059</v>
      </c>
      <c r="H213" s="79" t="s">
        <v>3060</v>
      </c>
      <c r="I213" s="61" t="s">
        <v>564</v>
      </c>
      <c r="J213" s="79" t="s">
        <v>4790</v>
      </c>
      <c r="K213" s="79" t="s">
        <v>4791</v>
      </c>
      <c r="L213" s="79" t="s">
        <v>4792</v>
      </c>
      <c r="M213" s="79" t="s">
        <v>4793</v>
      </c>
      <c r="N213" s="79"/>
      <c r="O213" s="79" t="s">
        <v>4794</v>
      </c>
      <c r="P213" s="79" t="s">
        <v>4795</v>
      </c>
      <c r="Q213" s="79" t="s">
        <v>4796</v>
      </c>
      <c r="R213" s="79" t="s">
        <v>4797</v>
      </c>
      <c r="S213" s="79" t="s">
        <v>4798</v>
      </c>
      <c r="T213" s="79" t="s">
        <v>4799</v>
      </c>
      <c r="U213" s="79" t="s">
        <v>4800</v>
      </c>
      <c r="V213" s="80" t="s">
        <v>4801</v>
      </c>
      <c r="W213" s="79" t="s">
        <v>4802</v>
      </c>
      <c r="X213" s="79" t="s">
        <v>4803</v>
      </c>
      <c r="Y213" s="79" t="s">
        <v>4804</v>
      </c>
      <c r="Z213" s="79" t="s">
        <v>4805</v>
      </c>
      <c r="AA213" s="79" t="s">
        <v>4806</v>
      </c>
      <c r="AB213" s="81" t="s">
        <v>4807</v>
      </c>
    </row>
    <row r="214" spans="1:28" x14ac:dyDescent="0.25">
      <c r="A214" s="27" t="s">
        <v>529</v>
      </c>
      <c r="B214" s="9" t="str">
        <f t="shared" si="18"/>
        <v>Hasta una precisión de un código de 4 caracteres.</v>
      </c>
      <c r="D214" s="78" t="s">
        <v>3061</v>
      </c>
      <c r="E214" s="79" t="s">
        <v>3062</v>
      </c>
      <c r="F214" s="80" t="s">
        <v>3063</v>
      </c>
      <c r="G214" s="80" t="s">
        <v>3064</v>
      </c>
      <c r="H214" s="79" t="s">
        <v>3065</v>
      </c>
      <c r="I214" s="61" t="s">
        <v>531</v>
      </c>
      <c r="J214" s="79" t="s">
        <v>4808</v>
      </c>
      <c r="K214" s="79" t="s">
        <v>4809</v>
      </c>
      <c r="L214" s="79" t="s">
        <v>4810</v>
      </c>
      <c r="M214" s="79" t="s">
        <v>4811</v>
      </c>
      <c r="N214" s="79"/>
      <c r="O214" s="79" t="s">
        <v>4812</v>
      </c>
      <c r="P214" s="79" t="s">
        <v>4813</v>
      </c>
      <c r="Q214" s="79" t="s">
        <v>4814</v>
      </c>
      <c r="R214" s="79" t="s">
        <v>4815</v>
      </c>
      <c r="S214" s="79" t="s">
        <v>4816</v>
      </c>
      <c r="T214" s="79" t="s">
        <v>4817</v>
      </c>
      <c r="U214" s="79" t="s">
        <v>4818</v>
      </c>
      <c r="V214" s="80" t="s">
        <v>4819</v>
      </c>
      <c r="W214" s="79" t="s">
        <v>4820</v>
      </c>
      <c r="X214" s="79" t="s">
        <v>4821</v>
      </c>
      <c r="Y214" s="79" t="s">
        <v>4822</v>
      </c>
      <c r="Z214" s="79" t="s">
        <v>4823</v>
      </c>
      <c r="AA214" s="79" t="s">
        <v>4824</v>
      </c>
      <c r="AB214" s="81" t="s">
        <v>4825</v>
      </c>
    </row>
    <row r="215" spans="1:28" x14ac:dyDescent="0.25">
      <c r="A215" s="27" t="s">
        <v>533</v>
      </c>
      <c r="B215" s="9" t="str">
        <f t="shared" si="18"/>
        <v>Enlace a la versión anterior del RNT fuera del sistema CE</v>
      </c>
      <c r="D215" s="78" t="s">
        <v>3066</v>
      </c>
      <c r="E215" s="79" t="s">
        <v>3067</v>
      </c>
      <c r="F215" s="80" t="s">
        <v>3068</v>
      </c>
      <c r="G215" s="80" t="s">
        <v>3069</v>
      </c>
      <c r="H215" s="79" t="s">
        <v>3070</v>
      </c>
      <c r="I215" s="61" t="s">
        <v>535</v>
      </c>
      <c r="J215" s="79" t="s">
        <v>4826</v>
      </c>
      <c r="K215" s="79" t="s">
        <v>4827</v>
      </c>
      <c r="L215" s="79" t="s">
        <v>4828</v>
      </c>
      <c r="M215" s="79" t="s">
        <v>4829</v>
      </c>
      <c r="N215" s="79"/>
      <c r="O215" s="79" t="s">
        <v>4830</v>
      </c>
      <c r="P215" s="79" t="s">
        <v>4831</v>
      </c>
      <c r="Q215" s="79" t="s">
        <v>4832</v>
      </c>
      <c r="R215" s="79" t="s">
        <v>4833</v>
      </c>
      <c r="S215" s="79" t="s">
        <v>4834</v>
      </c>
      <c r="T215" s="79" t="s">
        <v>4835</v>
      </c>
      <c r="U215" s="79" t="s">
        <v>4836</v>
      </c>
      <c r="V215" s="80" t="s">
        <v>4837</v>
      </c>
      <c r="W215" s="79" t="s">
        <v>4838</v>
      </c>
      <c r="X215" s="79" t="s">
        <v>4839</v>
      </c>
      <c r="Y215" s="79" t="s">
        <v>4840</v>
      </c>
      <c r="Z215" s="79" t="s">
        <v>4841</v>
      </c>
      <c r="AA215" s="79" t="s">
        <v>4842</v>
      </c>
      <c r="AB215" s="81" t="s">
        <v>4843</v>
      </c>
    </row>
    <row r="216" spans="1:28" x14ac:dyDescent="0.25">
      <c r="A216" s="27" t="s">
        <v>534</v>
      </c>
      <c r="B216" s="9" t="str">
        <f t="shared" ref="B216:B218" si="19">IF(TRIM(HLOOKUP(language_or_default,textTranslations,MATCH(A216,text,0),FALSE))="",HLOOKUP("en",textTranslations,MATCH(A216,text,0),FALSE),HLOOKUP(language_or_default,textTranslations,MATCH(A216,text,0),FALSE))</f>
        <v>Utilícese en el período transitorio cuando la versión anterior del RNT pueda no existir en el sistema de la CE.</v>
      </c>
      <c r="D216" s="78" t="s">
        <v>3071</v>
      </c>
      <c r="E216" s="79" t="s">
        <v>3072</v>
      </c>
      <c r="F216" s="80" t="s">
        <v>3073</v>
      </c>
      <c r="G216" s="80" t="s">
        <v>3074</v>
      </c>
      <c r="H216" s="79" t="s">
        <v>3075</v>
      </c>
      <c r="I216" s="61" t="s">
        <v>536</v>
      </c>
      <c r="J216" s="79" t="s">
        <v>4844</v>
      </c>
      <c r="K216" s="79" t="s">
        <v>4845</v>
      </c>
      <c r="L216" s="79" t="s">
        <v>4846</v>
      </c>
      <c r="M216" s="79" t="s">
        <v>4847</v>
      </c>
      <c r="N216" s="79"/>
      <c r="O216" s="79" t="s">
        <v>4848</v>
      </c>
      <c r="P216" s="79" t="s">
        <v>4849</v>
      </c>
      <c r="Q216" s="79" t="s">
        <v>4850</v>
      </c>
      <c r="R216" s="79" t="s">
        <v>4851</v>
      </c>
      <c r="S216" s="79" t="s">
        <v>4852</v>
      </c>
      <c r="T216" s="79" t="s">
        <v>4853</v>
      </c>
      <c r="U216" s="79" t="s">
        <v>4854</v>
      </c>
      <c r="V216" s="80" t="s">
        <v>4855</v>
      </c>
      <c r="W216" s="79" t="s">
        <v>4856</v>
      </c>
      <c r="X216" s="79" t="s">
        <v>4857</v>
      </c>
      <c r="Y216" s="79" t="s">
        <v>4858</v>
      </c>
      <c r="Z216" s="79" t="s">
        <v>4859</v>
      </c>
      <c r="AA216" s="79" t="s">
        <v>4860</v>
      </c>
      <c r="AB216" s="81" t="s">
        <v>4861</v>
      </c>
    </row>
    <row r="217" spans="1:28" x14ac:dyDescent="0.25">
      <c r="A217" s="27" t="s">
        <v>539</v>
      </c>
      <c r="B217" s="9" t="str">
        <f t="shared" si="19"/>
        <v>Identificador RNT</v>
      </c>
      <c r="D217" s="78" t="s">
        <v>3076</v>
      </c>
      <c r="E217" s="79" t="s">
        <v>3077</v>
      </c>
      <c r="F217" s="80" t="s">
        <v>3078</v>
      </c>
      <c r="G217" s="80" t="s">
        <v>3079</v>
      </c>
      <c r="H217" s="79" t="s">
        <v>3080</v>
      </c>
      <c r="I217" s="61" t="s">
        <v>540</v>
      </c>
      <c r="J217" s="79" t="s">
        <v>4862</v>
      </c>
      <c r="K217" s="79" t="s">
        <v>4863</v>
      </c>
      <c r="L217" s="79" t="s">
        <v>4864</v>
      </c>
      <c r="M217" s="79" t="s">
        <v>4865</v>
      </c>
      <c r="N217" s="79"/>
      <c r="O217" s="79" t="s">
        <v>4866</v>
      </c>
      <c r="P217" s="79" t="s">
        <v>4867</v>
      </c>
      <c r="Q217" s="79" t="s">
        <v>4868</v>
      </c>
      <c r="R217" s="79" t="s">
        <v>4869</v>
      </c>
      <c r="S217" s="79" t="s">
        <v>4870</v>
      </c>
      <c r="T217" s="79" t="s">
        <v>4871</v>
      </c>
      <c r="U217" s="79" t="s">
        <v>4872</v>
      </c>
      <c r="V217" s="80" t="s">
        <v>4873</v>
      </c>
      <c r="W217" s="79" t="s">
        <v>4874</v>
      </c>
      <c r="X217" s="79" t="s">
        <v>4875</v>
      </c>
      <c r="Y217" s="79" t="s">
        <v>4876</v>
      </c>
      <c r="Z217" s="79" t="s">
        <v>4877</v>
      </c>
      <c r="AA217" s="79" t="s">
        <v>4878</v>
      </c>
      <c r="AB217" s="81" t="s">
        <v>4879</v>
      </c>
    </row>
    <row r="218" spans="1:28" x14ac:dyDescent="0.25">
      <c r="A218" s="27" t="s">
        <v>541</v>
      </c>
      <c r="B218" s="9" t="str">
        <f t="shared" si="19"/>
        <v>Identificador RNT único asignado por el sistema central de la CE.</v>
      </c>
      <c r="D218" s="78" t="s">
        <v>3081</v>
      </c>
      <c r="E218" s="79" t="s">
        <v>3082</v>
      </c>
      <c r="F218" s="94" t="s">
        <v>3083</v>
      </c>
      <c r="G218" s="80" t="s">
        <v>3084</v>
      </c>
      <c r="H218" s="79" t="s">
        <v>3085</v>
      </c>
      <c r="I218" s="61" t="s">
        <v>552</v>
      </c>
      <c r="J218" s="79" t="s">
        <v>4880</v>
      </c>
      <c r="K218" s="79" t="s">
        <v>4881</v>
      </c>
      <c r="L218" s="79" t="s">
        <v>4882</v>
      </c>
      <c r="M218" s="79" t="s">
        <v>4883</v>
      </c>
      <c r="N218" s="79"/>
      <c r="O218" s="79" t="s">
        <v>4884</v>
      </c>
      <c r="P218" s="79" t="s">
        <v>4885</v>
      </c>
      <c r="Q218" s="79" t="s">
        <v>4886</v>
      </c>
      <c r="R218" s="79" t="s">
        <v>4887</v>
      </c>
      <c r="S218" s="79" t="s">
        <v>4888</v>
      </c>
      <c r="T218" s="79" t="s">
        <v>4889</v>
      </c>
      <c r="U218" s="79" t="s">
        <v>4890</v>
      </c>
      <c r="V218" s="80" t="s">
        <v>4891</v>
      </c>
      <c r="W218" s="79" t="s">
        <v>4892</v>
      </c>
      <c r="X218" s="79" t="s">
        <v>4893</v>
      </c>
      <c r="Y218" s="79" t="s">
        <v>4894</v>
      </c>
      <c r="Z218" s="79" t="s">
        <v>4895</v>
      </c>
      <c r="AA218" s="79" t="s">
        <v>4896</v>
      </c>
      <c r="AB218" s="81" t="s">
        <v>4897</v>
      </c>
    </row>
    <row r="219" spans="1:28" x14ac:dyDescent="0.25">
      <c r="A219" s="27" t="s">
        <v>542</v>
      </c>
      <c r="B219" s="9" t="str">
        <f t="shared" si="18"/>
        <v>Solo se cumplimentará cuando se actualicen los RNT ya almacenados en el sistema de la CE.</v>
      </c>
      <c r="D219" s="78" t="s">
        <v>3086</v>
      </c>
      <c r="E219" s="79" t="s">
        <v>3087</v>
      </c>
      <c r="F219" s="80" t="s">
        <v>3088</v>
      </c>
      <c r="G219" s="80" t="s">
        <v>3089</v>
      </c>
      <c r="H219" s="79" t="s">
        <v>3090</v>
      </c>
      <c r="I219" s="61" t="s">
        <v>543</v>
      </c>
      <c r="J219" s="79" t="s">
        <v>4898</v>
      </c>
      <c r="K219" s="79" t="s">
        <v>4899</v>
      </c>
      <c r="L219" s="79" t="s">
        <v>4900</v>
      </c>
      <c r="M219" s="79" t="s">
        <v>4901</v>
      </c>
      <c r="N219" s="79"/>
      <c r="O219" s="79" t="s">
        <v>4902</v>
      </c>
      <c r="P219" s="79" t="s">
        <v>4903</v>
      </c>
      <c r="Q219" s="79" t="s">
        <v>4904</v>
      </c>
      <c r="R219" s="79" t="s">
        <v>4905</v>
      </c>
      <c r="S219" s="79" t="s">
        <v>4906</v>
      </c>
      <c r="T219" s="79" t="s">
        <v>4907</v>
      </c>
      <c r="U219" s="79" t="s">
        <v>4908</v>
      </c>
      <c r="V219" s="80" t="s">
        <v>4909</v>
      </c>
      <c r="W219" s="79" t="s">
        <v>4910</v>
      </c>
      <c r="X219" s="79" t="s">
        <v>4911</v>
      </c>
      <c r="Y219" s="79" t="s">
        <v>4912</v>
      </c>
      <c r="Z219" s="79" t="s">
        <v>4913</v>
      </c>
      <c r="AA219" s="79" t="s">
        <v>4914</v>
      </c>
      <c r="AB219" s="81" t="s">
        <v>4915</v>
      </c>
    </row>
    <row r="220" spans="1:28" x14ac:dyDescent="0.25">
      <c r="A220" s="27" t="s">
        <v>547</v>
      </c>
      <c r="B220" s="9" t="str">
        <f t="shared" si="18"/>
        <v>Severidad aduanas EM</v>
      </c>
      <c r="D220" s="78" t="s">
        <v>3091</v>
      </c>
      <c r="E220" s="79" t="s">
        <v>3092</v>
      </c>
      <c r="F220" s="80" t="s">
        <v>3093</v>
      </c>
      <c r="G220" s="80" t="s">
        <v>3094</v>
      </c>
      <c r="H220" s="79" t="s">
        <v>3095</v>
      </c>
      <c r="I220" s="61" t="s">
        <v>548</v>
      </c>
      <c r="J220" s="79" t="s">
        <v>4916</v>
      </c>
      <c r="K220" s="79" t="s">
        <v>4917</v>
      </c>
      <c r="L220" s="79" t="s">
        <v>4918</v>
      </c>
      <c r="M220" s="79" t="s">
        <v>4919</v>
      </c>
      <c r="N220" s="79"/>
      <c r="O220" s="79" t="s">
        <v>4920</v>
      </c>
      <c r="P220" s="79" t="s">
        <v>4921</v>
      </c>
      <c r="Q220" s="79" t="s">
        <v>4922</v>
      </c>
      <c r="R220" s="79" t="s">
        <v>4923</v>
      </c>
      <c r="S220" s="79" t="s">
        <v>4924</v>
      </c>
      <c r="T220" s="79" t="s">
        <v>4925</v>
      </c>
      <c r="U220" s="79" t="s">
        <v>4926</v>
      </c>
      <c r="V220" s="80" t="s">
        <v>4927</v>
      </c>
      <c r="W220" s="79" t="s">
        <v>4928</v>
      </c>
      <c r="X220" s="79" t="s">
        <v>4929</v>
      </c>
      <c r="Y220" s="79" t="s">
        <v>4930</v>
      </c>
      <c r="Z220" s="79" t="s">
        <v>4931</v>
      </c>
      <c r="AA220" s="79" t="s">
        <v>4932</v>
      </c>
      <c r="AB220" s="81" t="s">
        <v>4933</v>
      </c>
    </row>
    <row r="221" spans="1:28" x14ac:dyDescent="0.25">
      <c r="A221" s="27" t="s">
        <v>553</v>
      </c>
      <c r="B221" s="9" t="str">
        <f t="shared" si="18"/>
        <v>El campo no se publicará.</v>
      </c>
      <c r="D221" s="78" t="s">
        <v>3096</v>
      </c>
      <c r="E221" s="79" t="s">
        <v>3097</v>
      </c>
      <c r="F221" s="80" t="s">
        <v>3098</v>
      </c>
      <c r="G221" s="80" t="s">
        <v>3099</v>
      </c>
      <c r="H221" s="79" t="s">
        <v>3100</v>
      </c>
      <c r="I221" s="61" t="s">
        <v>554</v>
      </c>
      <c r="J221" s="79" t="s">
        <v>4934</v>
      </c>
      <c r="K221" s="79" t="s">
        <v>4935</v>
      </c>
      <c r="L221" s="79" t="s">
        <v>4936</v>
      </c>
      <c r="M221" s="79" t="s">
        <v>4937</v>
      </c>
      <c r="N221" s="79"/>
      <c r="O221" s="79" t="s">
        <v>4938</v>
      </c>
      <c r="P221" s="79" t="s">
        <v>4939</v>
      </c>
      <c r="Q221" s="79" t="s">
        <v>4940</v>
      </c>
      <c r="R221" s="79" t="s">
        <v>4941</v>
      </c>
      <c r="S221" s="79" t="s">
        <v>4942</v>
      </c>
      <c r="T221" s="79" t="s">
        <v>4943</v>
      </c>
      <c r="U221" s="79" t="s">
        <v>4944</v>
      </c>
      <c r="V221" s="80" t="s">
        <v>4945</v>
      </c>
      <c r="W221" s="79" t="s">
        <v>4946</v>
      </c>
      <c r="X221" s="79" t="s">
        <v>4947</v>
      </c>
      <c r="Y221" s="79" t="s">
        <v>4948</v>
      </c>
      <c r="Z221" s="79" t="s">
        <v>4949</v>
      </c>
      <c r="AA221" s="79" t="s">
        <v>4950</v>
      </c>
      <c r="AB221" s="81" t="s">
        <v>4951</v>
      </c>
    </row>
    <row r="222" spans="1:28" x14ac:dyDescent="0.25">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25">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25">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75" thickBot="1" x14ac:dyDescent="0.3">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xzpGbczNSXXwUaPFnz4P52GL9rwVDKYLuXesjya7tyqPYjnJ7+tP7jkQRIqn0/a/LkZHQvPOISG1T0/9PxjM0A==" saltValue="GrAwHgS3Q9FCMWXil+evI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sqref="A1:XFD1048576"/>
    </sheetView>
  </sheetViews>
  <sheetFormatPr baseColWidth="10" defaultColWidth="9" defaultRowHeight="15" x14ac:dyDescent="0.25"/>
  <cols>
    <col min="1" max="1" width="22.85546875" style="3" customWidth="1"/>
    <col min="2" max="2" width="26.28515625" style="3" customWidth="1"/>
    <col min="3" max="3" width="35.140625" style="3" customWidth="1"/>
    <col min="4" max="4" width="24.85546875" style="9" customWidth="1"/>
    <col min="5" max="16384" width="9" style="9"/>
  </cols>
  <sheetData>
    <row r="1" spans="1:31" ht="15.75" thickBot="1" x14ac:dyDescent="0.3"/>
    <row r="2" spans="1:31" ht="15.75" thickBot="1" x14ac:dyDescent="0.3">
      <c r="A2" s="27" t="s">
        <v>12</v>
      </c>
      <c r="B2" s="95" t="str">
        <f>IF(language="","en",language)</f>
        <v>es</v>
      </c>
    </row>
    <row r="3" spans="1:31" ht="15.75" thickBot="1" x14ac:dyDescent="0.3">
      <c r="A3" s="27" t="s">
        <v>15</v>
      </c>
      <c r="B3" s="96" t="str">
        <f>yes</f>
        <v>sí [1]</v>
      </c>
      <c r="C3" s="97" t="str">
        <f>no</f>
        <v>no [0]</v>
      </c>
    </row>
    <row r="4" spans="1:31" ht="15.75" thickBot="1" x14ac:dyDescent="0.3">
      <c r="A4" s="27" t="s">
        <v>14</v>
      </c>
      <c r="B4" s="96" t="str">
        <f>yes</f>
        <v>sí [1]</v>
      </c>
      <c r="C4" s="98" t="s">
        <v>6</v>
      </c>
    </row>
    <row r="5" spans="1:31" ht="15.75" thickBot="1" x14ac:dyDescent="0.3">
      <c r="A5" s="27" t="s">
        <v>391</v>
      </c>
      <c r="B5" s="95">
        <v>1</v>
      </c>
      <c r="C5" s="99"/>
    </row>
    <row r="6" spans="1:31" ht="15.75" thickBot="1" x14ac:dyDescent="0.3">
      <c r="A6" s="27" t="s">
        <v>174</v>
      </c>
      <c r="B6" s="95" t="str">
        <f>IF(NTS!B2="","",IF(VLOOKUP(NTS!B2,A11:B38,2)="yes","*",""))</f>
        <v/>
      </c>
      <c r="C6" s="99"/>
    </row>
    <row r="7" spans="1:31" ht="15.75" thickBot="1" x14ac:dyDescent="0.3">
      <c r="A7" s="27" t="s">
        <v>393</v>
      </c>
      <c r="B7" s="95" t="str">
        <f>IF(NTS!B2="","",IF(VLOOKUP(NTS!B2,A11:C38,3)="yes","*",""))</f>
        <v/>
      </c>
      <c r="C7" s="99"/>
    </row>
    <row r="8" spans="1:31" ht="15.75" thickBot="1" x14ac:dyDescent="0.3">
      <c r="A8" s="27" t="s">
        <v>398</v>
      </c>
      <c r="B8" s="95" t="str">
        <f>IF(NTS!B2="","",IF(VLOOKUP(NTS!B2,A11:D38,4)="yes","*",""))</f>
        <v/>
      </c>
      <c r="C8" s="99"/>
    </row>
    <row r="9" spans="1:31" x14ac:dyDescent="0.25">
      <c r="A9" s="5"/>
      <c r="B9" s="100"/>
      <c r="C9" s="99"/>
    </row>
    <row r="10" spans="1:31" ht="15.75" thickBot="1" x14ac:dyDescent="0.3">
      <c r="A10" s="27" t="s">
        <v>172</v>
      </c>
      <c r="B10" s="100" t="s">
        <v>173</v>
      </c>
      <c r="C10" s="99" t="s">
        <v>392</v>
      </c>
      <c r="D10" s="9" t="s">
        <v>397</v>
      </c>
    </row>
    <row r="11" spans="1:31" x14ac:dyDescent="0.25">
      <c r="A11" s="53" t="s">
        <v>35</v>
      </c>
      <c r="B11" s="101" t="s">
        <v>4</v>
      </c>
      <c r="C11" s="102"/>
      <c r="D11" s="103"/>
    </row>
    <row r="12" spans="1:31" x14ac:dyDescent="0.25">
      <c r="A12" s="53" t="s">
        <v>36</v>
      </c>
      <c r="B12" s="104" t="s">
        <v>4</v>
      </c>
      <c r="C12" s="99"/>
      <c r="D12" s="87"/>
    </row>
    <row r="13" spans="1:31" x14ac:dyDescent="0.25">
      <c r="A13" s="53" t="s">
        <v>37</v>
      </c>
      <c r="B13" s="104" t="s">
        <v>4</v>
      </c>
      <c r="C13" s="99"/>
      <c r="D13" s="87"/>
    </row>
    <row r="14" spans="1:31" x14ac:dyDescent="0.25">
      <c r="A14" s="53" t="s">
        <v>38</v>
      </c>
      <c r="B14" s="104" t="s">
        <v>4</v>
      </c>
      <c r="C14" s="99"/>
      <c r="D14" s="87"/>
    </row>
    <row r="15" spans="1:31" x14ac:dyDescent="0.25">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25">
      <c r="A16" s="53" t="s">
        <v>40</v>
      </c>
      <c r="B16" s="104"/>
      <c r="C16" s="100"/>
      <c r="D16" s="87"/>
    </row>
    <row r="17" spans="1:4" x14ac:dyDescent="0.25">
      <c r="A17" s="53" t="s">
        <v>41</v>
      </c>
      <c r="B17" s="104" t="s">
        <v>4</v>
      </c>
      <c r="C17" s="100"/>
      <c r="D17" s="87"/>
    </row>
    <row r="18" spans="1:4" x14ac:dyDescent="0.25">
      <c r="A18" s="53" t="s">
        <v>42</v>
      </c>
      <c r="B18" s="104"/>
      <c r="C18" s="100"/>
      <c r="D18" s="87"/>
    </row>
    <row r="19" spans="1:4" x14ac:dyDescent="0.25">
      <c r="A19" s="53" t="s">
        <v>43</v>
      </c>
      <c r="B19" s="104" t="s">
        <v>4</v>
      </c>
      <c r="C19" s="100"/>
      <c r="D19" s="87"/>
    </row>
    <row r="20" spans="1:4" x14ac:dyDescent="0.25">
      <c r="A20" s="53" t="s">
        <v>44</v>
      </c>
      <c r="B20" s="104"/>
      <c r="C20" s="100"/>
      <c r="D20" s="87"/>
    </row>
    <row r="21" spans="1:4" x14ac:dyDescent="0.25">
      <c r="A21" s="53" t="s">
        <v>45</v>
      </c>
      <c r="B21" s="104" t="s">
        <v>4</v>
      </c>
      <c r="C21" s="100"/>
      <c r="D21" s="87"/>
    </row>
    <row r="22" spans="1:4" x14ac:dyDescent="0.25">
      <c r="A22" s="53" t="s">
        <v>46</v>
      </c>
      <c r="B22" s="104"/>
      <c r="C22" s="100"/>
      <c r="D22" s="87"/>
    </row>
    <row r="23" spans="1:4" x14ac:dyDescent="0.25">
      <c r="A23" s="53" t="s">
        <v>47</v>
      </c>
      <c r="B23" s="104" t="s">
        <v>4</v>
      </c>
      <c r="C23" s="100"/>
      <c r="D23" s="87"/>
    </row>
    <row r="24" spans="1:4" x14ac:dyDescent="0.25">
      <c r="A24" s="53" t="s">
        <v>48</v>
      </c>
      <c r="B24" s="104"/>
      <c r="C24" s="100"/>
      <c r="D24" s="87"/>
    </row>
    <row r="25" spans="1:4" x14ac:dyDescent="0.25">
      <c r="A25" s="53" t="s">
        <v>49</v>
      </c>
      <c r="B25" s="104"/>
      <c r="C25" s="100"/>
      <c r="D25" s="87"/>
    </row>
    <row r="26" spans="1:4" x14ac:dyDescent="0.25">
      <c r="A26" s="53" t="s">
        <v>50</v>
      </c>
      <c r="B26" s="104"/>
      <c r="C26" s="100"/>
      <c r="D26" s="87"/>
    </row>
    <row r="27" spans="1:4" x14ac:dyDescent="0.25">
      <c r="A27" s="53" t="s">
        <v>51</v>
      </c>
      <c r="B27" s="104" t="s">
        <v>4</v>
      </c>
      <c r="C27" s="100"/>
      <c r="D27" s="87"/>
    </row>
    <row r="28" spans="1:4" x14ac:dyDescent="0.25">
      <c r="A28" s="53" t="s">
        <v>52</v>
      </c>
      <c r="B28" s="104"/>
      <c r="C28" s="100"/>
      <c r="D28" s="87"/>
    </row>
    <row r="29" spans="1:4" x14ac:dyDescent="0.25">
      <c r="A29" s="53" t="s">
        <v>53</v>
      </c>
      <c r="B29" s="104"/>
      <c r="C29" s="100"/>
      <c r="D29" s="87"/>
    </row>
    <row r="30" spans="1:4" x14ac:dyDescent="0.25">
      <c r="A30" s="53" t="s">
        <v>54</v>
      </c>
      <c r="B30" s="104" t="s">
        <v>4</v>
      </c>
      <c r="C30" s="100"/>
      <c r="D30" s="87"/>
    </row>
    <row r="31" spans="1:4" x14ac:dyDescent="0.25">
      <c r="A31" s="53" t="s">
        <v>55</v>
      </c>
      <c r="B31" s="104" t="s">
        <v>4</v>
      </c>
      <c r="C31" s="100"/>
      <c r="D31" s="87"/>
    </row>
    <row r="32" spans="1:4" x14ac:dyDescent="0.25">
      <c r="A32" s="53" t="s">
        <v>56</v>
      </c>
      <c r="B32" s="104" t="s">
        <v>4</v>
      </c>
      <c r="C32" s="100"/>
      <c r="D32" s="87"/>
    </row>
    <row r="33" spans="1:4" x14ac:dyDescent="0.25">
      <c r="A33" s="53" t="s">
        <v>57</v>
      </c>
      <c r="B33" s="104" t="s">
        <v>4</v>
      </c>
      <c r="C33" s="100"/>
      <c r="D33" s="87"/>
    </row>
    <row r="34" spans="1:4" x14ac:dyDescent="0.25">
      <c r="A34" s="53" t="s">
        <v>58</v>
      </c>
      <c r="B34" s="104" t="s">
        <v>4</v>
      </c>
      <c r="C34" s="100"/>
      <c r="D34" s="87"/>
    </row>
    <row r="35" spans="1:4" x14ac:dyDescent="0.25">
      <c r="A35" s="53" t="s">
        <v>59</v>
      </c>
      <c r="B35" s="104" t="s">
        <v>4</v>
      </c>
      <c r="C35" s="100"/>
      <c r="D35" s="87"/>
    </row>
    <row r="36" spans="1:4" x14ac:dyDescent="0.25">
      <c r="A36" s="53" t="s">
        <v>60</v>
      </c>
      <c r="B36" s="104" t="s">
        <v>4</v>
      </c>
      <c r="C36" s="100"/>
      <c r="D36" s="87"/>
    </row>
    <row r="37" spans="1:4" x14ac:dyDescent="0.25">
      <c r="A37" s="53" t="s">
        <v>61</v>
      </c>
      <c r="B37" s="104" t="s">
        <v>4</v>
      </c>
      <c r="C37" s="100"/>
      <c r="D37" s="87"/>
    </row>
    <row r="38" spans="1:4" ht="15.75" thickBot="1" x14ac:dyDescent="0.3">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ANA BARLUENGA BADIOLA</cp:lastModifiedBy>
  <dcterms:created xsi:type="dcterms:W3CDTF">2020-03-26T19:58:53Z</dcterms:created>
  <dcterms:modified xsi:type="dcterms:W3CDTF">2021-05-19T12:13:11Z</dcterms:modified>
</cp:coreProperties>
</file>